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filterPrivacy="1"/>
  <xr:revisionPtr revIDLastSave="0" documentId="13_ncr:1_{660F0A4C-119E-4061-9402-7D7BF3B428A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sumen" sheetId="7" r:id="rId1"/>
    <sheet name="Detalle" sheetId="6" r:id="rId2"/>
    <sheet name="Detalle CNEL" sheetId="9" r:id="rId3"/>
    <sheet name="Información" sheetId="10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2" i="7" l="1"/>
  <c r="G4" i="6"/>
  <c r="G5" i="6"/>
  <c r="G6" i="6"/>
  <c r="G7" i="6"/>
  <c r="G8" i="6"/>
  <c r="G9" i="6"/>
  <c r="G10" i="6"/>
  <c r="G11" i="6"/>
  <c r="G12" i="6"/>
  <c r="G13" i="6"/>
  <c r="G14" i="6"/>
  <c r="G15" i="6"/>
  <c r="G16" i="6"/>
  <c r="G17" i="6"/>
  <c r="G18" i="6"/>
  <c r="G19" i="6"/>
  <c r="G20" i="6"/>
  <c r="G21" i="6"/>
  <c r="G22" i="6"/>
  <c r="G23" i="6"/>
  <c r="G24" i="6"/>
  <c r="G25" i="6"/>
  <c r="G26" i="6"/>
  <c r="G27" i="6"/>
  <c r="G28" i="6"/>
  <c r="G29" i="6"/>
  <c r="G30" i="6"/>
  <c r="G31" i="6"/>
  <c r="G32" i="6"/>
  <c r="G33" i="6"/>
  <c r="G34" i="6"/>
  <c r="G35" i="6"/>
  <c r="G36" i="6"/>
  <c r="G37" i="6"/>
  <c r="G38" i="6"/>
  <c r="G39" i="6"/>
  <c r="G40" i="6"/>
  <c r="G41" i="6"/>
  <c r="G42" i="6"/>
  <c r="G43" i="6"/>
  <c r="G44" i="6"/>
  <c r="G3" i="6"/>
  <c r="G4" i="9"/>
  <c r="G5" i="9"/>
  <c r="G6" i="9"/>
  <c r="G7" i="9"/>
  <c r="G8" i="9"/>
  <c r="G9" i="9"/>
  <c r="G10" i="9"/>
  <c r="G11" i="9"/>
  <c r="G12" i="9"/>
  <c r="G13" i="9"/>
  <c r="G14" i="9"/>
  <c r="G15" i="9"/>
  <c r="G16" i="9"/>
  <c r="G17" i="9"/>
  <c r="G18" i="9"/>
  <c r="G19" i="9"/>
  <c r="G20" i="9"/>
  <c r="G21" i="9"/>
  <c r="G22" i="9"/>
  <c r="G23" i="9"/>
  <c r="G24" i="9"/>
  <c r="G25" i="9"/>
  <c r="G26" i="9"/>
  <c r="G27" i="9"/>
  <c r="G28" i="9"/>
  <c r="G29" i="9"/>
  <c r="G30" i="9"/>
  <c r="G31" i="9"/>
  <c r="G32" i="9"/>
  <c r="G33" i="9"/>
  <c r="G34" i="9"/>
  <c r="G35" i="9"/>
  <c r="G36" i="9"/>
  <c r="G37" i="9"/>
  <c r="G38" i="9"/>
  <c r="G39" i="9"/>
  <c r="G40" i="9"/>
  <c r="G41" i="9"/>
  <c r="G42" i="9"/>
  <c r="G43" i="9"/>
  <c r="G44" i="9"/>
  <c r="G3" i="9"/>
  <c r="C4" i="9"/>
  <c r="D4" i="9"/>
  <c r="C5" i="9"/>
  <c r="D5" i="9"/>
  <c r="C6" i="9"/>
  <c r="D6" i="9"/>
  <c r="C7" i="9"/>
  <c r="D7" i="9"/>
  <c r="C8" i="9"/>
  <c r="D8" i="9"/>
  <c r="C9" i="9"/>
  <c r="D9" i="9"/>
  <c r="C10" i="9"/>
  <c r="D10" i="9"/>
  <c r="C11" i="9"/>
  <c r="D11" i="9"/>
  <c r="C12" i="9"/>
  <c r="D12" i="9"/>
  <c r="C13" i="9"/>
  <c r="D13" i="9"/>
  <c r="C14" i="9"/>
  <c r="D14" i="9"/>
  <c r="C15" i="9"/>
  <c r="D15" i="9"/>
  <c r="C16" i="9"/>
  <c r="D16" i="9"/>
  <c r="C17" i="9"/>
  <c r="D17" i="9"/>
  <c r="C18" i="9"/>
  <c r="D18" i="9"/>
  <c r="C19" i="9"/>
  <c r="D19" i="9"/>
  <c r="C20" i="9"/>
  <c r="D20" i="9"/>
  <c r="C21" i="9"/>
  <c r="D21" i="9"/>
  <c r="C22" i="9"/>
  <c r="D22" i="9"/>
  <c r="C23" i="9"/>
  <c r="D23" i="9"/>
  <c r="C24" i="9"/>
  <c r="D24" i="9"/>
  <c r="C25" i="9"/>
  <c r="D25" i="9"/>
  <c r="C26" i="9"/>
  <c r="D26" i="9"/>
  <c r="C27" i="9"/>
  <c r="D27" i="9"/>
  <c r="C28" i="9"/>
  <c r="D28" i="9"/>
  <c r="C29" i="9"/>
  <c r="D29" i="9"/>
  <c r="C30" i="9"/>
  <c r="D30" i="9"/>
  <c r="C31" i="9"/>
  <c r="D31" i="9"/>
  <c r="C32" i="9"/>
  <c r="D32" i="9"/>
  <c r="C33" i="9"/>
  <c r="D33" i="9"/>
  <c r="C34" i="9"/>
  <c r="D34" i="9"/>
  <c r="C35" i="9"/>
  <c r="D35" i="9"/>
  <c r="C36" i="9"/>
  <c r="D36" i="9"/>
  <c r="C37" i="9"/>
  <c r="D37" i="9"/>
  <c r="C38" i="9"/>
  <c r="D38" i="9"/>
  <c r="C39" i="9"/>
  <c r="D39" i="9"/>
  <c r="C40" i="9"/>
  <c r="D40" i="9"/>
  <c r="C41" i="9"/>
  <c r="D41" i="9"/>
  <c r="C42" i="9"/>
  <c r="D42" i="9"/>
  <c r="C43" i="9"/>
  <c r="D43" i="9"/>
  <c r="C44" i="9"/>
  <c r="D44" i="9"/>
  <c r="C45" i="9"/>
  <c r="D45" i="9"/>
  <c r="C46" i="9"/>
  <c r="D46" i="9"/>
  <c r="C47" i="9"/>
  <c r="D47" i="9"/>
  <c r="C48" i="9"/>
  <c r="D48" i="9"/>
  <c r="C49" i="9"/>
  <c r="D49" i="9"/>
  <c r="C50" i="9"/>
  <c r="D50" i="9"/>
  <c r="C51" i="9"/>
  <c r="D51" i="9"/>
  <c r="C52" i="9"/>
  <c r="D52" i="9"/>
  <c r="C53" i="9"/>
  <c r="D53" i="9"/>
  <c r="C54" i="9"/>
  <c r="D54" i="9"/>
  <c r="C55" i="9"/>
  <c r="D55" i="9"/>
  <c r="C56" i="9"/>
  <c r="D56" i="9"/>
  <c r="C57" i="9"/>
  <c r="D57" i="9"/>
  <c r="C58" i="9"/>
  <c r="D58" i="9"/>
  <c r="C59" i="9"/>
  <c r="D59" i="9"/>
  <c r="C60" i="9"/>
  <c r="D60" i="9"/>
  <c r="C61" i="9"/>
  <c r="D61" i="9"/>
  <c r="C62" i="9"/>
  <c r="D62" i="9"/>
  <c r="C63" i="9"/>
  <c r="D63" i="9"/>
  <c r="C64" i="9"/>
  <c r="D64" i="9"/>
  <c r="C65" i="9"/>
  <c r="D65" i="9"/>
  <c r="D3" i="9"/>
  <c r="C3" i="9"/>
  <c r="Q34" i="7"/>
  <c r="F21" i="7"/>
  <c r="G21" i="7"/>
  <c r="AI4" i="6"/>
  <c r="AI5" i="6"/>
  <c r="AI6" i="6"/>
  <c r="AI7" i="6"/>
  <c r="AI8" i="6"/>
  <c r="AI9" i="6"/>
  <c r="AI10" i="6"/>
  <c r="AI11" i="6"/>
  <c r="AI12" i="6"/>
  <c r="AI13" i="6"/>
  <c r="AI14" i="6"/>
  <c r="AI15" i="6"/>
  <c r="AI16" i="6"/>
  <c r="AI17" i="6"/>
  <c r="AI18" i="6"/>
  <c r="AI19" i="6"/>
  <c r="AI20" i="6"/>
  <c r="AI21" i="6"/>
  <c r="AI22" i="6"/>
  <c r="AI23" i="6"/>
  <c r="AI24" i="6"/>
  <c r="AI25" i="6"/>
  <c r="AI26" i="6"/>
  <c r="AI27" i="6"/>
  <c r="AI28" i="6"/>
  <c r="AI29" i="6"/>
  <c r="AI30" i="6"/>
  <c r="AI31" i="6"/>
  <c r="AI32" i="6"/>
  <c r="AI33" i="6"/>
  <c r="AI34" i="6"/>
  <c r="AI35" i="6"/>
  <c r="AI36" i="6"/>
  <c r="AI37" i="6"/>
  <c r="AI38" i="6"/>
  <c r="AI39" i="6"/>
  <c r="AI40" i="6"/>
  <c r="AI41" i="6"/>
  <c r="AI42" i="6"/>
  <c r="AI43" i="6"/>
  <c r="AI44" i="6"/>
  <c r="AI45" i="6"/>
  <c r="AI46" i="6"/>
  <c r="AI47" i="6"/>
  <c r="AI48" i="6"/>
  <c r="AI49" i="6"/>
  <c r="AI50" i="6"/>
  <c r="AI51" i="6"/>
  <c r="AI52" i="6"/>
  <c r="AI53" i="6"/>
  <c r="AI54" i="6"/>
  <c r="AI55" i="6"/>
  <c r="AI56" i="6"/>
  <c r="AI57" i="6"/>
  <c r="AI58" i="6"/>
  <c r="AI59" i="6"/>
  <c r="AI60" i="6"/>
  <c r="AI61" i="6"/>
  <c r="AI62" i="6"/>
  <c r="AI63" i="6"/>
  <c r="AI64" i="6"/>
  <c r="AI65" i="6"/>
  <c r="AI3" i="6"/>
  <c r="P35" i="7"/>
  <c r="L33" i="7"/>
  <c r="K33" i="7"/>
  <c r="BC66" i="9"/>
  <c r="BE66" i="9"/>
  <c r="AK4" i="6"/>
  <c r="AK5" i="6"/>
  <c r="AK6" i="6"/>
  <c r="AK7" i="6"/>
  <c r="AK8" i="6"/>
  <c r="AK9" i="6"/>
  <c r="AK10" i="6"/>
  <c r="AK11" i="6"/>
  <c r="AK12" i="6"/>
  <c r="AK13" i="6"/>
  <c r="AK14" i="6"/>
  <c r="AK15" i="6"/>
  <c r="AK16" i="6"/>
  <c r="AK17" i="6"/>
  <c r="AK18" i="6"/>
  <c r="AK19" i="6"/>
  <c r="AK20" i="6"/>
  <c r="AK21" i="6"/>
  <c r="AK22" i="6"/>
  <c r="AK23" i="6"/>
  <c r="AK24" i="6"/>
  <c r="AK25" i="6"/>
  <c r="AK26" i="6"/>
  <c r="AK27" i="6"/>
  <c r="AK28" i="6"/>
  <c r="AK29" i="6"/>
  <c r="AK30" i="6"/>
  <c r="AK31" i="6"/>
  <c r="AK32" i="6"/>
  <c r="AK33" i="6"/>
  <c r="AK34" i="6"/>
  <c r="AK35" i="6"/>
  <c r="AK36" i="6"/>
  <c r="AK37" i="6"/>
  <c r="AK38" i="6"/>
  <c r="AK39" i="6"/>
  <c r="AK40" i="6"/>
  <c r="AK41" i="6"/>
  <c r="AK42" i="6"/>
  <c r="AK43" i="6"/>
  <c r="AK44" i="6"/>
  <c r="AK45" i="6"/>
  <c r="AK46" i="6"/>
  <c r="AK47" i="6"/>
  <c r="AK48" i="6"/>
  <c r="AK49" i="6"/>
  <c r="AK50" i="6"/>
  <c r="AK51" i="6"/>
  <c r="AK52" i="6"/>
  <c r="AK53" i="6"/>
  <c r="AK54" i="6"/>
  <c r="AK55" i="6"/>
  <c r="AK56" i="6"/>
  <c r="AK57" i="6"/>
  <c r="AK58" i="6"/>
  <c r="AK59" i="6"/>
  <c r="AK60" i="6"/>
  <c r="AK61" i="6"/>
  <c r="AK62" i="6"/>
  <c r="AK63" i="6"/>
  <c r="AK64" i="6"/>
  <c r="AK65" i="6"/>
  <c r="AK3" i="6"/>
  <c r="AW66" i="6"/>
  <c r="AX66" i="6"/>
  <c r="AY66" i="6"/>
  <c r="AY4" i="6"/>
  <c r="AY5" i="6"/>
  <c r="AY6" i="6"/>
  <c r="AY7" i="6"/>
  <c r="AY8" i="6"/>
  <c r="AY9" i="6"/>
  <c r="AY10" i="6"/>
  <c r="AY11" i="6"/>
  <c r="AY12" i="6"/>
  <c r="AY13" i="6"/>
  <c r="AY14" i="6"/>
  <c r="AY15" i="6"/>
  <c r="AY16" i="6"/>
  <c r="AY17" i="6"/>
  <c r="AY18" i="6"/>
  <c r="AY19" i="6"/>
  <c r="AY20" i="6"/>
  <c r="AY21" i="6"/>
  <c r="AY22" i="6"/>
  <c r="AY23" i="6"/>
  <c r="AY24" i="6"/>
  <c r="AY25" i="6"/>
  <c r="AY26" i="6"/>
  <c r="AY27" i="6"/>
  <c r="AY28" i="6"/>
  <c r="AY29" i="6"/>
  <c r="AY30" i="6"/>
  <c r="AY31" i="6"/>
  <c r="AY32" i="6"/>
  <c r="AY33" i="6"/>
  <c r="AY34" i="6"/>
  <c r="AY35" i="6"/>
  <c r="AY36" i="6"/>
  <c r="AY37" i="6"/>
  <c r="AY38" i="6"/>
  <c r="AY39" i="6"/>
  <c r="AY40" i="6"/>
  <c r="AY41" i="6"/>
  <c r="AY42" i="6"/>
  <c r="AY43" i="6"/>
  <c r="AY44" i="6"/>
  <c r="AY45" i="6"/>
  <c r="AY46" i="6"/>
  <c r="AY47" i="6"/>
  <c r="AY48" i="6"/>
  <c r="AY49" i="6"/>
  <c r="AY50" i="6"/>
  <c r="AY51" i="6"/>
  <c r="AY52" i="6"/>
  <c r="AY53" i="6"/>
  <c r="AY54" i="6"/>
  <c r="AY55" i="6"/>
  <c r="AY56" i="6"/>
  <c r="AY57" i="6"/>
  <c r="AY58" i="6"/>
  <c r="AY59" i="6"/>
  <c r="AY60" i="6"/>
  <c r="AY61" i="6"/>
  <c r="AY62" i="6"/>
  <c r="AY63" i="6"/>
  <c r="AY64" i="6"/>
  <c r="AY65" i="6"/>
  <c r="AY3" i="6"/>
  <c r="AA4" i="6" l="1"/>
  <c r="AA5" i="6"/>
  <c r="AA6" i="6"/>
  <c r="AA7" i="6"/>
  <c r="AA8" i="6"/>
  <c r="AA9" i="6"/>
  <c r="AA10" i="6"/>
  <c r="AA11" i="6"/>
  <c r="AA12" i="6"/>
  <c r="AA13" i="6"/>
  <c r="AA14" i="6"/>
  <c r="AA15" i="6"/>
  <c r="AA16" i="6"/>
  <c r="AA17" i="6"/>
  <c r="AA18" i="6"/>
  <c r="AA19" i="6"/>
  <c r="AA20" i="6"/>
  <c r="AA21" i="6"/>
  <c r="AA22" i="6"/>
  <c r="AA23" i="6"/>
  <c r="AA24" i="6"/>
  <c r="AA26" i="6"/>
  <c r="AA27" i="6"/>
  <c r="AA28" i="6"/>
  <c r="AA29" i="6"/>
  <c r="AA30" i="6"/>
  <c r="AA31" i="6"/>
  <c r="AA32" i="6"/>
  <c r="AA33" i="6"/>
  <c r="AA34" i="6"/>
  <c r="AA35" i="6"/>
  <c r="AA36" i="6"/>
  <c r="AA37" i="6"/>
  <c r="AA38" i="6"/>
  <c r="AA39" i="6"/>
  <c r="AA41" i="6"/>
  <c r="AA42" i="6"/>
  <c r="AA43" i="6"/>
  <c r="AA44" i="6"/>
  <c r="AA45" i="6"/>
  <c r="AA46" i="6"/>
  <c r="AA47" i="6"/>
  <c r="AA48" i="6"/>
  <c r="AA50" i="6"/>
  <c r="AA51" i="6"/>
  <c r="AA52" i="6"/>
  <c r="AA53" i="6"/>
  <c r="AA54" i="6"/>
  <c r="AA55" i="6"/>
  <c r="AA56" i="6"/>
  <c r="AA57" i="6"/>
  <c r="AA58" i="6"/>
  <c r="AA59" i="6"/>
  <c r="AA60" i="6"/>
  <c r="AA61" i="6"/>
  <c r="AA62" i="6"/>
  <c r="AA63" i="6"/>
  <c r="AA64" i="6"/>
  <c r="BA64" i="6" s="1"/>
  <c r="AA65" i="6"/>
  <c r="BA65" i="6" s="1"/>
  <c r="AA3" i="6"/>
  <c r="Z26" i="9"/>
  <c r="Z27" i="9"/>
  <c r="AY27" i="9" s="1"/>
  <c r="Z28" i="9"/>
  <c r="Z29" i="9"/>
  <c r="AY29" i="9" s="1"/>
  <c r="Z30" i="9"/>
  <c r="AY30" i="9" s="1"/>
  <c r="Z31" i="9"/>
  <c r="AY31" i="9" s="1"/>
  <c r="Z32" i="9"/>
  <c r="AY32" i="9" s="1"/>
  <c r="Z33" i="9"/>
  <c r="AY33" i="9" s="1"/>
  <c r="Z34" i="9"/>
  <c r="AY34" i="9" s="1"/>
  <c r="Z35" i="9"/>
  <c r="AY35" i="9" s="1"/>
  <c r="Z36" i="9"/>
  <c r="AY36" i="9" s="1"/>
  <c r="Z37" i="9"/>
  <c r="AY37" i="9" s="1"/>
  <c r="Z38" i="9"/>
  <c r="AY38" i="9" s="1"/>
  <c r="Z39" i="9"/>
  <c r="AY39" i="9" s="1"/>
  <c r="Z40" i="9"/>
  <c r="AY40" i="9" s="1"/>
  <c r="Z41" i="9"/>
  <c r="AY41" i="9" s="1"/>
  <c r="Z42" i="9"/>
  <c r="AY42" i="9" s="1"/>
  <c r="Z43" i="9"/>
  <c r="AY43" i="9" s="1"/>
  <c r="Z44" i="9"/>
  <c r="AY44" i="9" s="1"/>
  <c r="Z45" i="9"/>
  <c r="AY45" i="9" s="1"/>
  <c r="Z46" i="9"/>
  <c r="AY46" i="9" s="1"/>
  <c r="Z47" i="9"/>
  <c r="AY47" i="9" s="1"/>
  <c r="Z48" i="9"/>
  <c r="AY48" i="9" s="1"/>
  <c r="Z49" i="9"/>
  <c r="AY49" i="9" s="1"/>
  <c r="Z50" i="9"/>
  <c r="AY50" i="9" s="1"/>
  <c r="Z51" i="9"/>
  <c r="AY51" i="9" s="1"/>
  <c r="Z52" i="9"/>
  <c r="AY52" i="9" s="1"/>
  <c r="Z53" i="9"/>
  <c r="AY53" i="9" s="1"/>
  <c r="Z54" i="9"/>
  <c r="AY54" i="9" s="1"/>
  <c r="Z55" i="9"/>
  <c r="AY55" i="9" s="1"/>
  <c r="Z56" i="9"/>
  <c r="AY56" i="9" s="1"/>
  <c r="Z57" i="9"/>
  <c r="AY57" i="9" s="1"/>
  <c r="Z58" i="9"/>
  <c r="AY58" i="9" s="1"/>
  <c r="Z59" i="9"/>
  <c r="AY59" i="9" s="1"/>
  <c r="Z60" i="9"/>
  <c r="AY60" i="9" s="1"/>
  <c r="Z61" i="9"/>
  <c r="AY61" i="9" s="1"/>
  <c r="Z62" i="9"/>
  <c r="AY62" i="9" s="1"/>
  <c r="Z63" i="9"/>
  <c r="AY63" i="9" s="1"/>
  <c r="Z64" i="9"/>
  <c r="AY64" i="9" s="1"/>
  <c r="Z65" i="9"/>
  <c r="AY65" i="9" s="1"/>
  <c r="Z4" i="9"/>
  <c r="AY4" i="9" s="1"/>
  <c r="Z5" i="9"/>
  <c r="AY5" i="9" s="1"/>
  <c r="Z6" i="9"/>
  <c r="AY6" i="9" s="1"/>
  <c r="Z8" i="9"/>
  <c r="AY8" i="9" s="1"/>
  <c r="Z9" i="9"/>
  <c r="AY9" i="9" s="1"/>
  <c r="Z10" i="9"/>
  <c r="AY10" i="9" s="1"/>
  <c r="Z11" i="9"/>
  <c r="AY11" i="9" s="1"/>
  <c r="Z12" i="9"/>
  <c r="AY12" i="9" s="1"/>
  <c r="Z13" i="9"/>
  <c r="AY13" i="9" s="1"/>
  <c r="Z14" i="9"/>
  <c r="AY14" i="9" s="1"/>
  <c r="Z15" i="9"/>
  <c r="Z16" i="9"/>
  <c r="AY16" i="9" s="1"/>
  <c r="Z17" i="9"/>
  <c r="AY17" i="9" s="1"/>
  <c r="Z18" i="9"/>
  <c r="AY18" i="9" s="1"/>
  <c r="Z19" i="9"/>
  <c r="AY19" i="9" s="1"/>
  <c r="Z20" i="9"/>
  <c r="AY20" i="9" s="1"/>
  <c r="Z21" i="9"/>
  <c r="AY21" i="9" s="1"/>
  <c r="Z22" i="9"/>
  <c r="AY22" i="9" s="1"/>
  <c r="Z23" i="9"/>
  <c r="AY23" i="9" s="1"/>
  <c r="Z24" i="9"/>
  <c r="AY24" i="9" s="1"/>
  <c r="Z3" i="9"/>
  <c r="AJ4" i="6"/>
  <c r="AJ5" i="6"/>
  <c r="AJ6" i="6"/>
  <c r="AJ7" i="6"/>
  <c r="AJ8" i="6"/>
  <c r="AJ9" i="6"/>
  <c r="AJ10" i="6"/>
  <c r="AJ11" i="6"/>
  <c r="AJ12" i="6"/>
  <c r="AJ13" i="6"/>
  <c r="AJ14" i="6"/>
  <c r="AJ15" i="6"/>
  <c r="AJ16" i="6"/>
  <c r="AJ17" i="6"/>
  <c r="AJ18" i="6"/>
  <c r="AJ19" i="6"/>
  <c r="AJ20" i="6"/>
  <c r="AJ21" i="6"/>
  <c r="AJ22" i="6"/>
  <c r="AJ23" i="6"/>
  <c r="AJ24" i="6"/>
  <c r="AJ25" i="6"/>
  <c r="AJ26" i="6"/>
  <c r="AJ27" i="6"/>
  <c r="AJ28" i="6"/>
  <c r="AJ29" i="6"/>
  <c r="AJ30" i="6"/>
  <c r="AJ31" i="6"/>
  <c r="AJ32" i="6"/>
  <c r="AJ33" i="6"/>
  <c r="AJ34" i="6"/>
  <c r="AJ35" i="6"/>
  <c r="AJ36" i="6"/>
  <c r="AJ37" i="6"/>
  <c r="AJ38" i="6"/>
  <c r="AJ39" i="6"/>
  <c r="AJ40" i="6"/>
  <c r="AJ41" i="6"/>
  <c r="AJ42" i="6"/>
  <c r="AJ43" i="6"/>
  <c r="AJ44" i="6"/>
  <c r="AJ45" i="6"/>
  <c r="AJ46" i="6"/>
  <c r="AJ47" i="6"/>
  <c r="AJ48" i="6"/>
  <c r="AJ49" i="6"/>
  <c r="AJ50" i="6"/>
  <c r="AJ51" i="6"/>
  <c r="AJ52" i="6"/>
  <c r="AJ53" i="6"/>
  <c r="AJ54" i="6"/>
  <c r="AJ55" i="6"/>
  <c r="AJ56" i="6"/>
  <c r="AJ57" i="6"/>
  <c r="AJ58" i="6"/>
  <c r="AJ59" i="6"/>
  <c r="AJ60" i="6"/>
  <c r="AJ61" i="6"/>
  <c r="AJ62" i="6"/>
  <c r="AJ63" i="6"/>
  <c r="AJ64" i="6"/>
  <c r="BC64" i="6" s="1"/>
  <c r="AJ65" i="6"/>
  <c r="BC65" i="6" s="1"/>
  <c r="AJ3" i="6"/>
  <c r="AI15" i="9"/>
  <c r="BA15" i="9" s="1"/>
  <c r="AI16" i="9"/>
  <c r="BA16" i="9" s="1"/>
  <c r="AI17" i="9"/>
  <c r="BA17" i="9" s="1"/>
  <c r="AI18" i="9"/>
  <c r="BA18" i="9" s="1"/>
  <c r="AI19" i="9"/>
  <c r="BA19" i="9" s="1"/>
  <c r="AI20" i="9"/>
  <c r="BA20" i="9" s="1"/>
  <c r="AI21" i="9"/>
  <c r="BA21" i="9" s="1"/>
  <c r="AI22" i="9"/>
  <c r="BA22" i="9" s="1"/>
  <c r="AI23" i="9"/>
  <c r="BA23" i="9" s="1"/>
  <c r="AI24" i="9"/>
  <c r="BA24" i="9" s="1"/>
  <c r="AI25" i="9"/>
  <c r="BA25" i="9" s="1"/>
  <c r="AI26" i="9"/>
  <c r="BA26" i="9" s="1"/>
  <c r="AI27" i="9"/>
  <c r="BA27" i="9" s="1"/>
  <c r="AI28" i="9"/>
  <c r="BA28" i="9" s="1"/>
  <c r="AI29" i="9"/>
  <c r="BA29" i="9" s="1"/>
  <c r="AI30" i="9"/>
  <c r="BA30" i="9" s="1"/>
  <c r="AI31" i="9"/>
  <c r="BA31" i="9" s="1"/>
  <c r="AI32" i="9"/>
  <c r="BA32" i="9" s="1"/>
  <c r="AI33" i="9"/>
  <c r="BA33" i="9" s="1"/>
  <c r="AI34" i="9"/>
  <c r="BA34" i="9" s="1"/>
  <c r="AI35" i="9"/>
  <c r="BA35" i="9" s="1"/>
  <c r="AI36" i="9"/>
  <c r="BA36" i="9" s="1"/>
  <c r="AI37" i="9"/>
  <c r="BA37" i="9" s="1"/>
  <c r="AI38" i="9"/>
  <c r="BA38" i="9" s="1"/>
  <c r="AI39" i="9"/>
  <c r="BA39" i="9" s="1"/>
  <c r="AI40" i="9"/>
  <c r="BA40" i="9" s="1"/>
  <c r="AI41" i="9"/>
  <c r="BA41" i="9" s="1"/>
  <c r="AI42" i="9"/>
  <c r="BA42" i="9" s="1"/>
  <c r="AI43" i="9"/>
  <c r="BA43" i="9" s="1"/>
  <c r="AI44" i="9"/>
  <c r="BA44" i="9" s="1"/>
  <c r="AI45" i="9"/>
  <c r="BA45" i="9" s="1"/>
  <c r="AI46" i="9"/>
  <c r="BA46" i="9" s="1"/>
  <c r="AI47" i="9"/>
  <c r="BA47" i="9" s="1"/>
  <c r="AI48" i="9"/>
  <c r="BA48" i="9" s="1"/>
  <c r="AI49" i="9"/>
  <c r="BA49" i="9" s="1"/>
  <c r="AI50" i="9"/>
  <c r="BA50" i="9" s="1"/>
  <c r="AI51" i="9"/>
  <c r="BA51" i="9" s="1"/>
  <c r="AI52" i="9"/>
  <c r="BA52" i="9" s="1"/>
  <c r="AI53" i="9"/>
  <c r="BA53" i="9" s="1"/>
  <c r="AI54" i="9"/>
  <c r="BA54" i="9" s="1"/>
  <c r="AI55" i="9"/>
  <c r="BA55" i="9" s="1"/>
  <c r="AI56" i="9"/>
  <c r="BA56" i="9" s="1"/>
  <c r="AI57" i="9"/>
  <c r="BA57" i="9" s="1"/>
  <c r="AI58" i="9"/>
  <c r="BA58" i="9" s="1"/>
  <c r="AI59" i="9"/>
  <c r="BA59" i="9" s="1"/>
  <c r="AI60" i="9"/>
  <c r="BA60" i="9" s="1"/>
  <c r="AI61" i="9"/>
  <c r="BA61" i="9" s="1"/>
  <c r="AI62" i="9"/>
  <c r="BA62" i="9" s="1"/>
  <c r="AI63" i="9"/>
  <c r="BA63" i="9" s="1"/>
  <c r="AI64" i="9"/>
  <c r="BA64" i="9" s="1"/>
  <c r="AI65" i="9"/>
  <c r="BA65" i="9" s="1"/>
  <c r="AI4" i="9"/>
  <c r="BA4" i="9" s="1"/>
  <c r="AI5" i="9"/>
  <c r="BA5" i="9" s="1"/>
  <c r="AI6" i="9"/>
  <c r="BA6" i="9" s="1"/>
  <c r="AI7" i="9"/>
  <c r="BA7" i="9" s="1"/>
  <c r="AI8" i="9"/>
  <c r="BA8" i="9" s="1"/>
  <c r="AI9" i="9"/>
  <c r="BA9" i="9" s="1"/>
  <c r="AI10" i="9"/>
  <c r="BA10" i="9" s="1"/>
  <c r="AI11" i="9"/>
  <c r="BA11" i="9" s="1"/>
  <c r="AI12" i="9"/>
  <c r="BA12" i="9" s="1"/>
  <c r="AI13" i="9"/>
  <c r="BA13" i="9" s="1"/>
  <c r="AI14" i="9"/>
  <c r="BA14" i="9" s="1"/>
  <c r="AI3" i="9"/>
  <c r="AJ4" i="9"/>
  <c r="AX4" i="9" s="1"/>
  <c r="AJ5" i="9"/>
  <c r="AX5" i="9" s="1"/>
  <c r="AJ6" i="9"/>
  <c r="AX6" i="9" s="1"/>
  <c r="AJ7" i="9"/>
  <c r="AX7" i="9" s="1"/>
  <c r="AJ8" i="9"/>
  <c r="AX8" i="9" s="1"/>
  <c r="AJ9" i="9"/>
  <c r="AX9" i="9" s="1"/>
  <c r="AJ10" i="9"/>
  <c r="AX10" i="9" s="1"/>
  <c r="AJ11" i="9"/>
  <c r="AX11" i="9" s="1"/>
  <c r="AJ12" i="9"/>
  <c r="AX12" i="9" s="1"/>
  <c r="AJ13" i="9"/>
  <c r="AX13" i="9" s="1"/>
  <c r="AJ14" i="9"/>
  <c r="AX14" i="9" s="1"/>
  <c r="AJ15" i="9"/>
  <c r="AX15" i="9" s="1"/>
  <c r="AJ16" i="9"/>
  <c r="AX16" i="9" s="1"/>
  <c r="AJ17" i="9"/>
  <c r="AX17" i="9" s="1"/>
  <c r="AJ18" i="9"/>
  <c r="AX18" i="9" s="1"/>
  <c r="AJ19" i="9"/>
  <c r="AX19" i="9" s="1"/>
  <c r="AJ20" i="9"/>
  <c r="AX20" i="9" s="1"/>
  <c r="AJ21" i="9"/>
  <c r="AX21" i="9" s="1"/>
  <c r="AJ22" i="9"/>
  <c r="AX22" i="9" s="1"/>
  <c r="AJ23" i="9"/>
  <c r="AX23" i="9" s="1"/>
  <c r="AJ24" i="9"/>
  <c r="AX24" i="9" s="1"/>
  <c r="AJ25" i="9"/>
  <c r="AX25" i="9" s="1"/>
  <c r="AJ26" i="9"/>
  <c r="AX26" i="9" s="1"/>
  <c r="AJ27" i="9"/>
  <c r="AX27" i="9" s="1"/>
  <c r="AJ28" i="9"/>
  <c r="AX28" i="9" s="1"/>
  <c r="AJ29" i="9"/>
  <c r="AX29" i="9" s="1"/>
  <c r="AJ30" i="9"/>
  <c r="AX30" i="9" s="1"/>
  <c r="AJ31" i="9"/>
  <c r="AX31" i="9" s="1"/>
  <c r="AJ32" i="9"/>
  <c r="AX32" i="9" s="1"/>
  <c r="AJ33" i="9"/>
  <c r="AX33" i="9" s="1"/>
  <c r="AJ34" i="9"/>
  <c r="AX34" i="9" s="1"/>
  <c r="AJ35" i="9"/>
  <c r="AX35" i="9" s="1"/>
  <c r="AJ36" i="9"/>
  <c r="AX36" i="9" s="1"/>
  <c r="AJ37" i="9"/>
  <c r="AX37" i="9" s="1"/>
  <c r="AJ38" i="9"/>
  <c r="AX38" i="9" s="1"/>
  <c r="AJ39" i="9"/>
  <c r="AX39" i="9" s="1"/>
  <c r="AJ40" i="9"/>
  <c r="AJ41" i="9"/>
  <c r="AX41" i="9" s="1"/>
  <c r="AJ42" i="9"/>
  <c r="AX42" i="9" s="1"/>
  <c r="AJ43" i="9"/>
  <c r="AX43" i="9" s="1"/>
  <c r="AJ44" i="9"/>
  <c r="AX44" i="9" s="1"/>
  <c r="AJ45" i="9"/>
  <c r="AX45" i="9" s="1"/>
  <c r="AJ46" i="9"/>
  <c r="AX46" i="9" s="1"/>
  <c r="AJ47" i="9"/>
  <c r="AX47" i="9" s="1"/>
  <c r="AJ48" i="9"/>
  <c r="AX48" i="9" s="1"/>
  <c r="AJ49" i="9"/>
  <c r="AX49" i="9" s="1"/>
  <c r="AJ50" i="9"/>
  <c r="AX50" i="9" s="1"/>
  <c r="AJ51" i="9"/>
  <c r="AX51" i="9" s="1"/>
  <c r="AJ52" i="9"/>
  <c r="AX52" i="9" s="1"/>
  <c r="AJ53" i="9"/>
  <c r="AX53" i="9" s="1"/>
  <c r="AJ54" i="9"/>
  <c r="AX54" i="9" s="1"/>
  <c r="AJ55" i="9"/>
  <c r="AX55" i="9" s="1"/>
  <c r="AJ56" i="9"/>
  <c r="AX56" i="9" s="1"/>
  <c r="AJ57" i="9"/>
  <c r="AX57" i="9" s="1"/>
  <c r="AJ58" i="9"/>
  <c r="AX58" i="9" s="1"/>
  <c r="AJ59" i="9"/>
  <c r="AX59" i="9" s="1"/>
  <c r="AJ60" i="9"/>
  <c r="AX60" i="9" s="1"/>
  <c r="AJ61" i="9"/>
  <c r="AX61" i="9" s="1"/>
  <c r="AJ62" i="9"/>
  <c r="AX62" i="9" s="1"/>
  <c r="AJ63" i="9"/>
  <c r="AX63" i="9" s="1"/>
  <c r="AJ64" i="9"/>
  <c r="AX64" i="9" s="1"/>
  <c r="AJ65" i="9"/>
  <c r="AX65" i="9" s="1"/>
  <c r="AJ3" i="9"/>
  <c r="AX3" i="9" s="1"/>
  <c r="AX40" i="9"/>
  <c r="AH66" i="9"/>
  <c r="AG66" i="9"/>
  <c r="AE66" i="9"/>
  <c r="Y66" i="9"/>
  <c r="AW65" i="9"/>
  <c r="AD65" i="9"/>
  <c r="AC65" i="9"/>
  <c r="AV65" i="9" s="1"/>
  <c r="AB65" i="9"/>
  <c r="AU65" i="9" s="1"/>
  <c r="AA65" i="9"/>
  <c r="AZ65" i="9" s="1"/>
  <c r="W65" i="9"/>
  <c r="K65" i="9"/>
  <c r="AT65" i="9" s="1"/>
  <c r="J65" i="9"/>
  <c r="B65" i="9"/>
  <c r="AW64" i="9"/>
  <c r="AD64" i="9"/>
  <c r="AC64" i="9"/>
  <c r="AV64" i="9" s="1"/>
  <c r="AB64" i="9"/>
  <c r="AU64" i="9" s="1"/>
  <c r="AA64" i="9"/>
  <c r="AZ64" i="9" s="1"/>
  <c r="W64" i="9"/>
  <c r="K64" i="9"/>
  <c r="AT64" i="9" s="1"/>
  <c r="J64" i="9"/>
  <c r="B64" i="9"/>
  <c r="AW63" i="9"/>
  <c r="AD63" i="9"/>
  <c r="AC63" i="9"/>
  <c r="AV63" i="9" s="1"/>
  <c r="AB63" i="9"/>
  <c r="AU63" i="9" s="1"/>
  <c r="AA63" i="9"/>
  <c r="AZ63" i="9" s="1"/>
  <c r="W63" i="9"/>
  <c r="K63" i="9"/>
  <c r="AT63" i="9" s="1"/>
  <c r="J63" i="9"/>
  <c r="B63" i="9"/>
  <c r="AW62" i="9"/>
  <c r="AD62" i="9"/>
  <c r="AC62" i="9"/>
  <c r="AV62" i="9" s="1"/>
  <c r="AB62" i="9"/>
  <c r="AU62" i="9" s="1"/>
  <c r="AA62" i="9"/>
  <c r="AZ62" i="9" s="1"/>
  <c r="W62" i="9"/>
  <c r="K62" i="9"/>
  <c r="AT62" i="9" s="1"/>
  <c r="J62" i="9"/>
  <c r="B62" i="9"/>
  <c r="G62" i="9" s="1"/>
  <c r="AW61" i="9"/>
  <c r="AD61" i="9"/>
  <c r="AC61" i="9"/>
  <c r="AV61" i="9" s="1"/>
  <c r="AB61" i="9"/>
  <c r="AU61" i="9" s="1"/>
  <c r="AA61" i="9"/>
  <c r="AZ61" i="9" s="1"/>
  <c r="W61" i="9"/>
  <c r="K61" i="9"/>
  <c r="AT61" i="9" s="1"/>
  <c r="J61" i="9"/>
  <c r="B61" i="9"/>
  <c r="G61" i="9" s="1"/>
  <c r="AW60" i="9"/>
  <c r="AD60" i="9"/>
  <c r="AC60" i="9"/>
  <c r="AV60" i="9" s="1"/>
  <c r="AB60" i="9"/>
  <c r="AU60" i="9" s="1"/>
  <c r="AA60" i="9"/>
  <c r="AZ60" i="9" s="1"/>
  <c r="W60" i="9"/>
  <c r="K60" i="9"/>
  <c r="AT60" i="9" s="1"/>
  <c r="J60" i="9"/>
  <c r="B60" i="9"/>
  <c r="G60" i="9" s="1"/>
  <c r="AW59" i="9"/>
  <c r="AD59" i="9"/>
  <c r="AC59" i="9"/>
  <c r="AV59" i="9" s="1"/>
  <c r="AB59" i="9"/>
  <c r="AU59" i="9" s="1"/>
  <c r="AA59" i="9"/>
  <c r="AZ59" i="9" s="1"/>
  <c r="W59" i="9"/>
  <c r="K59" i="9"/>
  <c r="AT59" i="9" s="1"/>
  <c r="J59" i="9"/>
  <c r="B59" i="9"/>
  <c r="AW58" i="9"/>
  <c r="AD58" i="9"/>
  <c r="AC58" i="9"/>
  <c r="AV58" i="9" s="1"/>
  <c r="AB58" i="9"/>
  <c r="AU58" i="9" s="1"/>
  <c r="AA58" i="9"/>
  <c r="AZ58" i="9" s="1"/>
  <c r="W58" i="9"/>
  <c r="K58" i="9"/>
  <c r="AT58" i="9" s="1"/>
  <c r="J58" i="9"/>
  <c r="B58" i="9"/>
  <c r="AW57" i="9"/>
  <c r="AD57" i="9"/>
  <c r="AC57" i="9"/>
  <c r="AV57" i="9" s="1"/>
  <c r="AB57" i="9"/>
  <c r="AU57" i="9" s="1"/>
  <c r="AA57" i="9"/>
  <c r="AZ57" i="9" s="1"/>
  <c r="W57" i="9"/>
  <c r="K57" i="9"/>
  <c r="AT57" i="9" s="1"/>
  <c r="J57" i="9"/>
  <c r="B57" i="9"/>
  <c r="G57" i="9" s="1"/>
  <c r="AW56" i="9"/>
  <c r="AD56" i="9"/>
  <c r="AC56" i="9"/>
  <c r="AV56" i="9" s="1"/>
  <c r="AB56" i="9"/>
  <c r="AU56" i="9" s="1"/>
  <c r="AA56" i="9"/>
  <c r="AZ56" i="9" s="1"/>
  <c r="W56" i="9"/>
  <c r="K56" i="9"/>
  <c r="AT56" i="9" s="1"/>
  <c r="J56" i="9"/>
  <c r="B56" i="9"/>
  <c r="AW55" i="9"/>
  <c r="AD55" i="9"/>
  <c r="AC55" i="9"/>
  <c r="AV55" i="9" s="1"/>
  <c r="AB55" i="9"/>
  <c r="AU55" i="9" s="1"/>
  <c r="AA55" i="9"/>
  <c r="AZ55" i="9" s="1"/>
  <c r="W55" i="9"/>
  <c r="K55" i="9"/>
  <c r="AT55" i="9" s="1"/>
  <c r="J55" i="9"/>
  <c r="B55" i="9"/>
  <c r="AW54" i="9"/>
  <c r="AD54" i="9"/>
  <c r="AC54" i="9"/>
  <c r="AV54" i="9" s="1"/>
  <c r="AB54" i="9"/>
  <c r="AU54" i="9" s="1"/>
  <c r="AA54" i="9"/>
  <c r="AZ54" i="9" s="1"/>
  <c r="W54" i="9"/>
  <c r="K54" i="9"/>
  <c r="AT54" i="9" s="1"/>
  <c r="J54" i="9"/>
  <c r="B54" i="9"/>
  <c r="G54" i="9" s="1"/>
  <c r="AW53" i="9"/>
  <c r="AD53" i="9"/>
  <c r="AC53" i="9"/>
  <c r="AV53" i="9" s="1"/>
  <c r="AB53" i="9"/>
  <c r="AU53" i="9" s="1"/>
  <c r="AA53" i="9"/>
  <c r="AZ53" i="9" s="1"/>
  <c r="W53" i="9"/>
  <c r="K53" i="9"/>
  <c r="AT53" i="9" s="1"/>
  <c r="J53" i="9"/>
  <c r="B53" i="9"/>
  <c r="AW52" i="9"/>
  <c r="AD52" i="9"/>
  <c r="AC52" i="9"/>
  <c r="AV52" i="9" s="1"/>
  <c r="AB52" i="9"/>
  <c r="AU52" i="9" s="1"/>
  <c r="AA52" i="9"/>
  <c r="AZ52" i="9" s="1"/>
  <c r="W52" i="9"/>
  <c r="K52" i="9"/>
  <c r="AT52" i="9" s="1"/>
  <c r="J52" i="9"/>
  <c r="B52" i="9"/>
  <c r="AW51" i="9"/>
  <c r="AD51" i="9"/>
  <c r="AC51" i="9"/>
  <c r="AV51" i="9" s="1"/>
  <c r="AB51" i="9"/>
  <c r="AU51" i="9" s="1"/>
  <c r="AA51" i="9"/>
  <c r="AZ51" i="9" s="1"/>
  <c r="W51" i="9"/>
  <c r="K51" i="9"/>
  <c r="AT51" i="9" s="1"/>
  <c r="J51" i="9"/>
  <c r="B51" i="9"/>
  <c r="AW50" i="9"/>
  <c r="AD50" i="9"/>
  <c r="AC50" i="9"/>
  <c r="AV50" i="9" s="1"/>
  <c r="AB50" i="9"/>
  <c r="AA50" i="9"/>
  <c r="AZ50" i="9" s="1"/>
  <c r="W50" i="9"/>
  <c r="L50" i="9"/>
  <c r="K50" i="9"/>
  <c r="AT50" i="9" s="1"/>
  <c r="J50" i="9"/>
  <c r="B50" i="9"/>
  <c r="G50" i="9" s="1"/>
  <c r="AW49" i="9"/>
  <c r="AD49" i="9"/>
  <c r="AC49" i="9"/>
  <c r="AV49" i="9" s="1"/>
  <c r="AB49" i="9"/>
  <c r="AU49" i="9" s="1"/>
  <c r="AA49" i="9"/>
  <c r="AZ49" i="9" s="1"/>
  <c r="W49" i="9"/>
  <c r="K49" i="9"/>
  <c r="AT49" i="9" s="1"/>
  <c r="J49" i="9"/>
  <c r="B49" i="9"/>
  <c r="AW48" i="9"/>
  <c r="AD48" i="9"/>
  <c r="AC48" i="9"/>
  <c r="AV48" i="9" s="1"/>
  <c r="AB48" i="9"/>
  <c r="AU48" i="9" s="1"/>
  <c r="AA48" i="9"/>
  <c r="AZ48" i="9" s="1"/>
  <c r="W48" i="9"/>
  <c r="K48" i="9"/>
  <c r="AT48" i="9" s="1"/>
  <c r="J48" i="9"/>
  <c r="B48" i="9"/>
  <c r="AW47" i="9"/>
  <c r="AD47" i="9"/>
  <c r="AC47" i="9"/>
  <c r="AV47" i="9" s="1"/>
  <c r="AB47" i="9"/>
  <c r="AU47" i="9" s="1"/>
  <c r="AA47" i="9"/>
  <c r="AZ47" i="9" s="1"/>
  <c r="W47" i="9"/>
  <c r="K47" i="9"/>
  <c r="AT47" i="9" s="1"/>
  <c r="J47" i="9"/>
  <c r="B47" i="9"/>
  <c r="AW46" i="9"/>
  <c r="AD46" i="9"/>
  <c r="AC46" i="9"/>
  <c r="AV46" i="9" s="1"/>
  <c r="AB46" i="9"/>
  <c r="AU46" i="9" s="1"/>
  <c r="AA46" i="9"/>
  <c r="AZ46" i="9" s="1"/>
  <c r="W46" i="9"/>
  <c r="K46" i="9"/>
  <c r="AT46" i="9" s="1"/>
  <c r="J46" i="9"/>
  <c r="B46" i="9"/>
  <c r="G46" i="9" s="1"/>
  <c r="AW45" i="9"/>
  <c r="AD45" i="9"/>
  <c r="AC45" i="9"/>
  <c r="AV45" i="9" s="1"/>
  <c r="AB45" i="9"/>
  <c r="AU45" i="9" s="1"/>
  <c r="AA45" i="9"/>
  <c r="AZ45" i="9" s="1"/>
  <c r="W45" i="9"/>
  <c r="K45" i="9"/>
  <c r="AT45" i="9" s="1"/>
  <c r="J45" i="9"/>
  <c r="B45" i="9"/>
  <c r="AW44" i="9"/>
  <c r="AD44" i="9"/>
  <c r="AC44" i="9"/>
  <c r="AV44" i="9" s="1"/>
  <c r="AB44" i="9"/>
  <c r="AU44" i="9" s="1"/>
  <c r="AA44" i="9"/>
  <c r="AZ44" i="9" s="1"/>
  <c r="W44" i="9"/>
  <c r="K44" i="9"/>
  <c r="AT44" i="9" s="1"/>
  <c r="J44" i="9"/>
  <c r="B44" i="9"/>
  <c r="F44" i="9" s="1"/>
  <c r="AW43" i="9"/>
  <c r="AD43" i="9"/>
  <c r="AC43" i="9"/>
  <c r="AV43" i="9" s="1"/>
  <c r="AB43" i="9"/>
  <c r="AU43" i="9" s="1"/>
  <c r="AA43" i="9"/>
  <c r="AZ43" i="9" s="1"/>
  <c r="W43" i="9"/>
  <c r="K43" i="9"/>
  <c r="AT43" i="9" s="1"/>
  <c r="J43" i="9"/>
  <c r="B43" i="9"/>
  <c r="F43" i="9" s="1"/>
  <c r="AW42" i="9"/>
  <c r="AD42" i="9"/>
  <c r="AC42" i="9"/>
  <c r="AV42" i="9" s="1"/>
  <c r="AB42" i="9"/>
  <c r="AU42" i="9" s="1"/>
  <c r="AA42" i="9"/>
  <c r="AZ42" i="9" s="1"/>
  <c r="W42" i="9"/>
  <c r="K42" i="9"/>
  <c r="AT42" i="9" s="1"/>
  <c r="J42" i="9"/>
  <c r="B42" i="9"/>
  <c r="AW41" i="9"/>
  <c r="AD41" i="9"/>
  <c r="AC41" i="9"/>
  <c r="AV41" i="9" s="1"/>
  <c r="AB41" i="9"/>
  <c r="AU41" i="9" s="1"/>
  <c r="AA41" i="9"/>
  <c r="AZ41" i="9" s="1"/>
  <c r="W41" i="9"/>
  <c r="K41" i="9"/>
  <c r="AT41" i="9" s="1"/>
  <c r="J41" i="9"/>
  <c r="B41" i="9"/>
  <c r="F41" i="9" s="1"/>
  <c r="AW40" i="9"/>
  <c r="AD40" i="9"/>
  <c r="AC40" i="9"/>
  <c r="AV40" i="9" s="1"/>
  <c r="AB40" i="9"/>
  <c r="AU40" i="9" s="1"/>
  <c r="AA40" i="9"/>
  <c r="AZ40" i="9" s="1"/>
  <c r="W40" i="9"/>
  <c r="K40" i="9"/>
  <c r="AT40" i="9" s="1"/>
  <c r="J40" i="9"/>
  <c r="B40" i="9"/>
  <c r="F40" i="9" s="1"/>
  <c r="AW39" i="9"/>
  <c r="AD39" i="9"/>
  <c r="AC39" i="9"/>
  <c r="AV39" i="9" s="1"/>
  <c r="AB39" i="9"/>
  <c r="AU39" i="9" s="1"/>
  <c r="AA39" i="9"/>
  <c r="AZ39" i="9" s="1"/>
  <c r="W39" i="9"/>
  <c r="K39" i="9"/>
  <c r="AT39" i="9" s="1"/>
  <c r="J39" i="9"/>
  <c r="B39" i="9"/>
  <c r="F39" i="9" s="1"/>
  <c r="AW38" i="9"/>
  <c r="AD38" i="9"/>
  <c r="AC38" i="9"/>
  <c r="AV38" i="9" s="1"/>
  <c r="AB38" i="9"/>
  <c r="AU38" i="9" s="1"/>
  <c r="AA38" i="9"/>
  <c r="AZ38" i="9" s="1"/>
  <c r="W38" i="9"/>
  <c r="K38" i="9"/>
  <c r="AT38" i="9" s="1"/>
  <c r="J38" i="9"/>
  <c r="B38" i="9"/>
  <c r="F38" i="9" s="1"/>
  <c r="AW37" i="9"/>
  <c r="AD37" i="9"/>
  <c r="AC37" i="9"/>
  <c r="AV37" i="9" s="1"/>
  <c r="AB37" i="9"/>
  <c r="AU37" i="9" s="1"/>
  <c r="AA37" i="9"/>
  <c r="AZ37" i="9" s="1"/>
  <c r="W37" i="9"/>
  <c r="K37" i="9"/>
  <c r="AT37" i="9" s="1"/>
  <c r="J37" i="9"/>
  <c r="B37" i="9"/>
  <c r="F37" i="9" s="1"/>
  <c r="AW36" i="9"/>
  <c r="AD36" i="9"/>
  <c r="AC36" i="9"/>
  <c r="AV36" i="9" s="1"/>
  <c r="AB36" i="9"/>
  <c r="AU36" i="9" s="1"/>
  <c r="AA36" i="9"/>
  <c r="AZ36" i="9" s="1"/>
  <c r="W36" i="9"/>
  <c r="K36" i="9"/>
  <c r="AT36" i="9" s="1"/>
  <c r="J36" i="9"/>
  <c r="B36" i="9"/>
  <c r="F36" i="9" s="1"/>
  <c r="AW35" i="9"/>
  <c r="AD35" i="9"/>
  <c r="AC35" i="9"/>
  <c r="AV35" i="9" s="1"/>
  <c r="AB35" i="9"/>
  <c r="AU35" i="9" s="1"/>
  <c r="AA35" i="9"/>
  <c r="AZ35" i="9" s="1"/>
  <c r="W35" i="9"/>
  <c r="K35" i="9"/>
  <c r="AT35" i="9" s="1"/>
  <c r="J35" i="9"/>
  <c r="B35" i="9"/>
  <c r="F35" i="9" s="1"/>
  <c r="AW34" i="9"/>
  <c r="AD34" i="9"/>
  <c r="AC34" i="9"/>
  <c r="AV34" i="9" s="1"/>
  <c r="AB34" i="9"/>
  <c r="AU34" i="9" s="1"/>
  <c r="AA34" i="9"/>
  <c r="AZ34" i="9" s="1"/>
  <c r="W34" i="9"/>
  <c r="K34" i="9"/>
  <c r="AT34" i="9" s="1"/>
  <c r="J34" i="9"/>
  <c r="B34" i="9"/>
  <c r="E34" i="9" s="1"/>
  <c r="AW33" i="9"/>
  <c r="AD33" i="9"/>
  <c r="AC33" i="9"/>
  <c r="AV33" i="9" s="1"/>
  <c r="AB33" i="9"/>
  <c r="AU33" i="9" s="1"/>
  <c r="AA33" i="9"/>
  <c r="AZ33" i="9" s="1"/>
  <c r="W33" i="9"/>
  <c r="K33" i="9"/>
  <c r="AT33" i="9" s="1"/>
  <c r="J33" i="9"/>
  <c r="B33" i="9"/>
  <c r="E33" i="9" s="1"/>
  <c r="AW32" i="9"/>
  <c r="AD32" i="9"/>
  <c r="AC32" i="9"/>
  <c r="AV32" i="9" s="1"/>
  <c r="AB32" i="9"/>
  <c r="AU32" i="9" s="1"/>
  <c r="AA32" i="9"/>
  <c r="AZ32" i="9" s="1"/>
  <c r="W32" i="9"/>
  <c r="K32" i="9"/>
  <c r="AT32" i="9" s="1"/>
  <c r="J32" i="9"/>
  <c r="B32" i="9"/>
  <c r="AW31" i="9"/>
  <c r="AD31" i="9"/>
  <c r="AC31" i="9"/>
  <c r="AV31" i="9" s="1"/>
  <c r="AB31" i="9"/>
  <c r="AU31" i="9" s="1"/>
  <c r="AA31" i="9"/>
  <c r="AZ31" i="9" s="1"/>
  <c r="W31" i="9"/>
  <c r="K31" i="9"/>
  <c r="AT31" i="9" s="1"/>
  <c r="J31" i="9"/>
  <c r="B31" i="9"/>
  <c r="E31" i="9" s="1"/>
  <c r="AW30" i="9"/>
  <c r="AD30" i="9"/>
  <c r="AC30" i="9"/>
  <c r="AV30" i="9" s="1"/>
  <c r="AB30" i="9"/>
  <c r="AU30" i="9" s="1"/>
  <c r="AA30" i="9"/>
  <c r="AZ30" i="9" s="1"/>
  <c r="W30" i="9"/>
  <c r="K30" i="9"/>
  <c r="AT30" i="9" s="1"/>
  <c r="J30" i="9"/>
  <c r="B30" i="9"/>
  <c r="AW29" i="9"/>
  <c r="AD29" i="9"/>
  <c r="AC29" i="9"/>
  <c r="AV29" i="9" s="1"/>
  <c r="AB29" i="9"/>
  <c r="AU29" i="9" s="1"/>
  <c r="AA29" i="9"/>
  <c r="AZ29" i="9" s="1"/>
  <c r="W29" i="9"/>
  <c r="K29" i="9"/>
  <c r="AT29" i="9" s="1"/>
  <c r="J29" i="9"/>
  <c r="B29" i="9"/>
  <c r="E29" i="9" s="1"/>
  <c r="AW28" i="9"/>
  <c r="AD28" i="9"/>
  <c r="AC28" i="9"/>
  <c r="AV28" i="9" s="1"/>
  <c r="AB28" i="9"/>
  <c r="AU28" i="9" s="1"/>
  <c r="AA28" i="9"/>
  <c r="AZ28" i="9" s="1"/>
  <c r="AY28" i="9"/>
  <c r="W28" i="9"/>
  <c r="K28" i="9"/>
  <c r="AT28" i="9" s="1"/>
  <c r="J28" i="9"/>
  <c r="B28" i="9"/>
  <c r="AW27" i="9"/>
  <c r="AD27" i="9"/>
  <c r="AC27" i="9"/>
  <c r="AV27" i="9" s="1"/>
  <c r="AB27" i="9"/>
  <c r="AU27" i="9" s="1"/>
  <c r="AA27" i="9"/>
  <c r="AZ27" i="9" s="1"/>
  <c r="W27" i="9"/>
  <c r="K27" i="9"/>
  <c r="AT27" i="9" s="1"/>
  <c r="J27" i="9"/>
  <c r="B27" i="9"/>
  <c r="F27" i="9" s="1"/>
  <c r="AW26" i="9"/>
  <c r="AD26" i="9"/>
  <c r="AC26" i="9"/>
  <c r="AV26" i="9" s="1"/>
  <c r="AB26" i="9"/>
  <c r="AU26" i="9" s="1"/>
  <c r="AA26" i="9"/>
  <c r="AZ26" i="9" s="1"/>
  <c r="AY26" i="9"/>
  <c r="W26" i="9"/>
  <c r="K26" i="9"/>
  <c r="AT26" i="9" s="1"/>
  <c r="J26" i="9"/>
  <c r="B26" i="9"/>
  <c r="F26" i="9" s="1"/>
  <c r="AW25" i="9"/>
  <c r="AD25" i="9"/>
  <c r="AC25" i="9"/>
  <c r="AV25" i="9" s="1"/>
  <c r="AB25" i="9"/>
  <c r="AU25" i="9" s="1"/>
  <c r="AA25" i="9"/>
  <c r="AZ25" i="9" s="1"/>
  <c r="W25" i="9"/>
  <c r="K25" i="9"/>
  <c r="AT25" i="9" s="1"/>
  <c r="J25" i="9"/>
  <c r="B25" i="9"/>
  <c r="E25" i="9" s="1"/>
  <c r="AW24" i="9"/>
  <c r="AD24" i="9"/>
  <c r="AC24" i="9"/>
  <c r="AV24" i="9" s="1"/>
  <c r="AB24" i="9"/>
  <c r="AU24" i="9" s="1"/>
  <c r="AA24" i="9"/>
  <c r="AZ24" i="9" s="1"/>
  <c r="W24" i="9"/>
  <c r="K24" i="9"/>
  <c r="AT24" i="9" s="1"/>
  <c r="J24" i="9"/>
  <c r="B24" i="9"/>
  <c r="AW23" i="9"/>
  <c r="AD23" i="9"/>
  <c r="AC23" i="9"/>
  <c r="AV23" i="9" s="1"/>
  <c r="AB23" i="9"/>
  <c r="AU23" i="9" s="1"/>
  <c r="AA23" i="9"/>
  <c r="AZ23" i="9" s="1"/>
  <c r="W23" i="9"/>
  <c r="K23" i="9"/>
  <c r="AT23" i="9" s="1"/>
  <c r="J23" i="9"/>
  <c r="B23" i="9"/>
  <c r="E23" i="9" s="1"/>
  <c r="AW22" i="9"/>
  <c r="AD22" i="9"/>
  <c r="AC22" i="9"/>
  <c r="AV22" i="9" s="1"/>
  <c r="AB22" i="9"/>
  <c r="AU22" i="9" s="1"/>
  <c r="AA22" i="9"/>
  <c r="AZ22" i="9" s="1"/>
  <c r="W22" i="9"/>
  <c r="K22" i="9"/>
  <c r="AT22" i="9" s="1"/>
  <c r="J22" i="9"/>
  <c r="B22" i="9"/>
  <c r="AW21" i="9"/>
  <c r="AD21" i="9"/>
  <c r="AC21" i="9"/>
  <c r="AV21" i="9" s="1"/>
  <c r="AB21" i="9"/>
  <c r="AU21" i="9" s="1"/>
  <c r="AA21" i="9"/>
  <c r="AZ21" i="9" s="1"/>
  <c r="W21" i="9"/>
  <c r="K21" i="9"/>
  <c r="AT21" i="9" s="1"/>
  <c r="J21" i="9"/>
  <c r="B21" i="9"/>
  <c r="AW20" i="9"/>
  <c r="AD20" i="9"/>
  <c r="AC20" i="9"/>
  <c r="AV20" i="9" s="1"/>
  <c r="AB20" i="9"/>
  <c r="AU20" i="9" s="1"/>
  <c r="AA20" i="9"/>
  <c r="AZ20" i="9" s="1"/>
  <c r="W20" i="9"/>
  <c r="K20" i="9"/>
  <c r="AT20" i="9" s="1"/>
  <c r="J20" i="9"/>
  <c r="B20" i="9"/>
  <c r="F20" i="9" s="1"/>
  <c r="AW19" i="9"/>
  <c r="AF66" i="9"/>
  <c r="AD19" i="9"/>
  <c r="AC19" i="9"/>
  <c r="AV19" i="9" s="1"/>
  <c r="AB19" i="9"/>
  <c r="AU19" i="9" s="1"/>
  <c r="AA19" i="9"/>
  <c r="AZ19" i="9" s="1"/>
  <c r="W19" i="9"/>
  <c r="K19" i="9"/>
  <c r="AT19" i="9" s="1"/>
  <c r="J19" i="9"/>
  <c r="B19" i="9"/>
  <c r="F19" i="9" s="1"/>
  <c r="AW18" i="9"/>
  <c r="AD18" i="9"/>
  <c r="AC18" i="9"/>
  <c r="AV18" i="9" s="1"/>
  <c r="AB18" i="9"/>
  <c r="AU18" i="9" s="1"/>
  <c r="AA18" i="9"/>
  <c r="AZ18" i="9" s="1"/>
  <c r="W18" i="9"/>
  <c r="K18" i="9"/>
  <c r="AT18" i="9" s="1"/>
  <c r="J18" i="9"/>
  <c r="B18" i="9"/>
  <c r="F18" i="9" s="1"/>
  <c r="AW17" i="9"/>
  <c r="AD17" i="9"/>
  <c r="AC17" i="9"/>
  <c r="AV17" i="9" s="1"/>
  <c r="AB17" i="9"/>
  <c r="AU17" i="9" s="1"/>
  <c r="AA17" i="9"/>
  <c r="AZ17" i="9" s="1"/>
  <c r="W17" i="9"/>
  <c r="K17" i="9"/>
  <c r="AT17" i="9" s="1"/>
  <c r="J17" i="9"/>
  <c r="B17" i="9"/>
  <c r="F17" i="9" s="1"/>
  <c r="AW16" i="9"/>
  <c r="AD16" i="9"/>
  <c r="AC16" i="9"/>
  <c r="AV16" i="9" s="1"/>
  <c r="AB16" i="9"/>
  <c r="AU16" i="9" s="1"/>
  <c r="AA16" i="9"/>
  <c r="AZ16" i="9" s="1"/>
  <c r="W16" i="9"/>
  <c r="K16" i="9"/>
  <c r="AT16" i="9" s="1"/>
  <c r="J16" i="9"/>
  <c r="B16" i="9"/>
  <c r="F16" i="9" s="1"/>
  <c r="AW15" i="9"/>
  <c r="AD15" i="9"/>
  <c r="AC15" i="9"/>
  <c r="AV15" i="9" s="1"/>
  <c r="AB15" i="9"/>
  <c r="AU15" i="9" s="1"/>
  <c r="AA15" i="9"/>
  <c r="AZ15" i="9" s="1"/>
  <c r="W15" i="9"/>
  <c r="K15" i="9"/>
  <c r="AT15" i="9" s="1"/>
  <c r="J15" i="9"/>
  <c r="B15" i="9"/>
  <c r="AW14" i="9"/>
  <c r="AD14" i="9"/>
  <c r="AC14" i="9"/>
  <c r="AV14" i="9" s="1"/>
  <c r="AB14" i="9"/>
  <c r="AU14" i="9" s="1"/>
  <c r="AA14" i="9"/>
  <c r="AZ14" i="9" s="1"/>
  <c r="W14" i="9"/>
  <c r="K14" i="9"/>
  <c r="AT14" i="9" s="1"/>
  <c r="J14" i="9"/>
  <c r="B14" i="9"/>
  <c r="F14" i="9" s="1"/>
  <c r="AW13" i="9"/>
  <c r="AD13" i="9"/>
  <c r="AC13" i="9"/>
  <c r="AV13" i="9" s="1"/>
  <c r="AB13" i="9"/>
  <c r="AU13" i="9" s="1"/>
  <c r="AA13" i="9"/>
  <c r="AZ13" i="9" s="1"/>
  <c r="W13" i="9"/>
  <c r="K13" i="9"/>
  <c r="AT13" i="9" s="1"/>
  <c r="J13" i="9"/>
  <c r="B13" i="9"/>
  <c r="F13" i="9" s="1"/>
  <c r="AW12" i="9"/>
  <c r="AD12" i="9"/>
  <c r="AC12" i="9"/>
  <c r="AV12" i="9" s="1"/>
  <c r="AB12" i="9"/>
  <c r="AU12" i="9" s="1"/>
  <c r="AA12" i="9"/>
  <c r="AZ12" i="9" s="1"/>
  <c r="W12" i="9"/>
  <c r="K12" i="9"/>
  <c r="AT12" i="9" s="1"/>
  <c r="J12" i="9"/>
  <c r="B12" i="9"/>
  <c r="F12" i="9" s="1"/>
  <c r="AW11" i="9"/>
  <c r="AD11" i="9"/>
  <c r="AC11" i="9"/>
  <c r="AV11" i="9" s="1"/>
  <c r="AB11" i="9"/>
  <c r="AU11" i="9" s="1"/>
  <c r="AA11" i="9"/>
  <c r="AZ11" i="9" s="1"/>
  <c r="W11" i="9"/>
  <c r="K11" i="9"/>
  <c r="AT11" i="9" s="1"/>
  <c r="J11" i="9"/>
  <c r="B11" i="9"/>
  <c r="AW10" i="9"/>
  <c r="AD10" i="9"/>
  <c r="AC10" i="9"/>
  <c r="AV10" i="9" s="1"/>
  <c r="AB10" i="9"/>
  <c r="AU10" i="9" s="1"/>
  <c r="AA10" i="9"/>
  <c r="AZ10" i="9" s="1"/>
  <c r="W10" i="9"/>
  <c r="K10" i="9"/>
  <c r="AT10" i="9" s="1"/>
  <c r="J10" i="9"/>
  <c r="B10" i="9"/>
  <c r="F10" i="9" s="1"/>
  <c r="AW9" i="9"/>
  <c r="AD9" i="9"/>
  <c r="AC9" i="9"/>
  <c r="AV9" i="9" s="1"/>
  <c r="AB9" i="9"/>
  <c r="AU9" i="9" s="1"/>
  <c r="AA9" i="9"/>
  <c r="AZ9" i="9" s="1"/>
  <c r="W9" i="9"/>
  <c r="K9" i="9"/>
  <c r="AT9" i="9" s="1"/>
  <c r="J9" i="9"/>
  <c r="B9" i="9"/>
  <c r="F9" i="9" s="1"/>
  <c r="AW8" i="9"/>
  <c r="AD8" i="9"/>
  <c r="AC8" i="9"/>
  <c r="AV8" i="9" s="1"/>
  <c r="AB8" i="9"/>
  <c r="AU8" i="9" s="1"/>
  <c r="AA8" i="9"/>
  <c r="AZ8" i="9" s="1"/>
  <c r="W8" i="9"/>
  <c r="K8" i="9"/>
  <c r="AT8" i="9" s="1"/>
  <c r="J8" i="9"/>
  <c r="B8" i="9"/>
  <c r="F8" i="9" s="1"/>
  <c r="AW7" i="9"/>
  <c r="AD7" i="9"/>
  <c r="AC7" i="9"/>
  <c r="AV7" i="9" s="1"/>
  <c r="AB7" i="9"/>
  <c r="AU7" i="9" s="1"/>
  <c r="AA7" i="9"/>
  <c r="AZ7" i="9" s="1"/>
  <c r="W7" i="9"/>
  <c r="K7" i="9"/>
  <c r="AT7" i="9" s="1"/>
  <c r="J7" i="9"/>
  <c r="B7" i="9"/>
  <c r="F7" i="9" s="1"/>
  <c r="AW6" i="9"/>
  <c r="AD6" i="9"/>
  <c r="AC6" i="9"/>
  <c r="AV6" i="9" s="1"/>
  <c r="AB6" i="9"/>
  <c r="AU6" i="9" s="1"/>
  <c r="AA6" i="9"/>
  <c r="AZ6" i="9" s="1"/>
  <c r="W6" i="9"/>
  <c r="K6" i="9"/>
  <c r="AT6" i="9" s="1"/>
  <c r="J6" i="9"/>
  <c r="B6" i="9"/>
  <c r="F6" i="9" s="1"/>
  <c r="AW5" i="9"/>
  <c r="AD5" i="9"/>
  <c r="AC5" i="9"/>
  <c r="AV5" i="9" s="1"/>
  <c r="AB5" i="9"/>
  <c r="AU5" i="9" s="1"/>
  <c r="AA5" i="9"/>
  <c r="AZ5" i="9" s="1"/>
  <c r="W5" i="9"/>
  <c r="K5" i="9"/>
  <c r="AT5" i="9" s="1"/>
  <c r="J5" i="9"/>
  <c r="B5" i="9"/>
  <c r="F5" i="9" s="1"/>
  <c r="AW4" i="9"/>
  <c r="AV4" i="9"/>
  <c r="AD4" i="9"/>
  <c r="AC4" i="9"/>
  <c r="AB4" i="9"/>
  <c r="AU4" i="9" s="1"/>
  <c r="AA4" i="9"/>
  <c r="AZ4" i="9" s="1"/>
  <c r="W4" i="9"/>
  <c r="K4" i="9"/>
  <c r="AT4" i="9" s="1"/>
  <c r="J4" i="9"/>
  <c r="B4" i="9"/>
  <c r="AW3" i="9"/>
  <c r="AD3" i="9"/>
  <c r="AC3" i="9"/>
  <c r="AV3" i="9" s="1"/>
  <c r="AB3" i="9"/>
  <c r="AU3" i="9" s="1"/>
  <c r="AA3" i="9"/>
  <c r="AZ3" i="9" s="1"/>
  <c r="W3" i="9"/>
  <c r="R3" i="9"/>
  <c r="X3" i="9" s="1"/>
  <c r="K3" i="9"/>
  <c r="AT3" i="9" s="1"/>
  <c r="J3" i="9"/>
  <c r="B3" i="9"/>
  <c r="AX65" i="6"/>
  <c r="Z66" i="6"/>
  <c r="AF66" i="6"/>
  <c r="AH66" i="6"/>
  <c r="X65" i="6"/>
  <c r="AB65" i="6"/>
  <c r="BB65" i="6" s="1"/>
  <c r="AC65" i="6"/>
  <c r="AV65" i="6" s="1"/>
  <c r="AD65" i="6"/>
  <c r="AW65" i="6" s="1"/>
  <c r="AE65" i="6"/>
  <c r="AZ65" i="6"/>
  <c r="B65" i="6"/>
  <c r="J65" i="6"/>
  <c r="K65" i="6"/>
  <c r="AU65" i="6" s="1"/>
  <c r="AX64" i="6"/>
  <c r="X64" i="6"/>
  <c r="AB64" i="6"/>
  <c r="BB64" i="6" s="1"/>
  <c r="AC64" i="6"/>
  <c r="AV64" i="6" s="1"/>
  <c r="AD64" i="6"/>
  <c r="AW64" i="6" s="1"/>
  <c r="AE64" i="6"/>
  <c r="AZ64" i="6"/>
  <c r="J64" i="6"/>
  <c r="K64" i="6"/>
  <c r="AU64" i="6" s="1"/>
  <c r="B64" i="6"/>
  <c r="AV66" i="9" l="1"/>
  <c r="AW66" i="9"/>
  <c r="F52" i="9"/>
  <c r="G52" i="9"/>
  <c r="E56" i="9"/>
  <c r="G56" i="9"/>
  <c r="F45" i="9"/>
  <c r="G45" i="9"/>
  <c r="F47" i="9"/>
  <c r="G47" i="9"/>
  <c r="F49" i="9"/>
  <c r="G49" i="9"/>
  <c r="E64" i="9"/>
  <c r="G64" i="9"/>
  <c r="E64" i="6"/>
  <c r="G64" i="6"/>
  <c r="E65" i="6"/>
  <c r="G65" i="6"/>
  <c r="F51" i="9"/>
  <c r="G51" i="9"/>
  <c r="F53" i="9"/>
  <c r="G53" i="9"/>
  <c r="F55" i="9"/>
  <c r="G55" i="9"/>
  <c r="F59" i="9"/>
  <c r="G59" i="9"/>
  <c r="E63" i="9"/>
  <c r="G63" i="9"/>
  <c r="E65" i="9"/>
  <c r="G65" i="9"/>
  <c r="E58" i="9"/>
  <c r="G58" i="9"/>
  <c r="E48" i="9"/>
  <c r="G48" i="9"/>
  <c r="AS5" i="9"/>
  <c r="AS15" i="9"/>
  <c r="E44" i="9"/>
  <c r="H44" i="9" s="1"/>
  <c r="F34" i="9"/>
  <c r="I34" i="9" s="1"/>
  <c r="AS25" i="9"/>
  <c r="E40" i="9"/>
  <c r="I40" i="9" s="1"/>
  <c r="AT65" i="6"/>
  <c r="AZ66" i="9"/>
  <c r="G15" i="7" s="1"/>
  <c r="AS11" i="9"/>
  <c r="AT66" i="9"/>
  <c r="E52" i="9"/>
  <c r="E53" i="9"/>
  <c r="AX66" i="9"/>
  <c r="G13" i="7" s="1"/>
  <c r="E9" i="9"/>
  <c r="I9" i="9" s="1"/>
  <c r="AS19" i="9"/>
  <c r="F33" i="9"/>
  <c r="H33" i="9" s="1"/>
  <c r="E43" i="9"/>
  <c r="P43" i="9" s="1"/>
  <c r="E55" i="9"/>
  <c r="F48" i="9"/>
  <c r="AS60" i="9"/>
  <c r="E6" i="9"/>
  <c r="H6" i="9" s="1"/>
  <c r="AS8" i="9"/>
  <c r="E13" i="9"/>
  <c r="H13" i="9" s="1"/>
  <c r="E16" i="9"/>
  <c r="P16" i="9" s="1"/>
  <c r="AS32" i="9"/>
  <c r="AU50" i="9"/>
  <c r="AU66" i="9" s="1"/>
  <c r="AS62" i="9"/>
  <c r="AS52" i="9"/>
  <c r="AS54" i="9"/>
  <c r="E59" i="9"/>
  <c r="AS61" i="9"/>
  <c r="E36" i="9"/>
  <c r="P36" i="9" s="1"/>
  <c r="E19" i="9"/>
  <c r="I19" i="9" s="1"/>
  <c r="E37" i="9"/>
  <c r="P37" i="9" s="1"/>
  <c r="AS42" i="9"/>
  <c r="F56" i="9"/>
  <c r="E12" i="9"/>
  <c r="P12" i="9" s="1"/>
  <c r="AS26" i="9"/>
  <c r="E47" i="9"/>
  <c r="AS57" i="9"/>
  <c r="AS58" i="9"/>
  <c r="AS29" i="9"/>
  <c r="AS47" i="9"/>
  <c r="AS50" i="9"/>
  <c r="AS51" i="9"/>
  <c r="AS43" i="9"/>
  <c r="AS12" i="9"/>
  <c r="AS36" i="9"/>
  <c r="AS39" i="9"/>
  <c r="AS46" i="9"/>
  <c r="AS65" i="9"/>
  <c r="E5" i="9"/>
  <c r="H5" i="9" s="1"/>
  <c r="F61" i="9"/>
  <c r="R4" i="9"/>
  <c r="R5" i="9" s="1"/>
  <c r="X5" i="9" s="1"/>
  <c r="E8" i="9"/>
  <c r="I8" i="9" s="1"/>
  <c r="E51" i="9"/>
  <c r="E54" i="9"/>
  <c r="F54" i="9"/>
  <c r="E32" i="9"/>
  <c r="F32" i="9"/>
  <c r="F57" i="9"/>
  <c r="E57" i="9"/>
  <c r="E50" i="9"/>
  <c r="F50" i="9"/>
  <c r="F60" i="9"/>
  <c r="E60" i="9"/>
  <c r="E3" i="9"/>
  <c r="F3" i="9"/>
  <c r="E39" i="9"/>
  <c r="P39" i="9" s="1"/>
  <c r="F4" i="9"/>
  <c r="E4" i="9"/>
  <c r="F11" i="9"/>
  <c r="E11" i="9"/>
  <c r="AS24" i="9"/>
  <c r="F42" i="9"/>
  <c r="E42" i="9"/>
  <c r="F46" i="9"/>
  <c r="E46" i="9"/>
  <c r="F58" i="9"/>
  <c r="I44" i="9"/>
  <c r="F25" i="9"/>
  <c r="P25" i="9" s="1"/>
  <c r="E61" i="9"/>
  <c r="E15" i="9"/>
  <c r="F15" i="9"/>
  <c r="AS14" i="9"/>
  <c r="AS38" i="9"/>
  <c r="AS41" i="9"/>
  <c r="AS45" i="9"/>
  <c r="AS59" i="9"/>
  <c r="AS3" i="9"/>
  <c r="AS4" i="9"/>
  <c r="AS7" i="9"/>
  <c r="AS10" i="9"/>
  <c r="E14" i="9"/>
  <c r="P14" i="9" s="1"/>
  <c r="AS17" i="9"/>
  <c r="E18" i="9"/>
  <c r="I18" i="9" s="1"/>
  <c r="AS21" i="9"/>
  <c r="E35" i="9"/>
  <c r="H35" i="9" s="1"/>
  <c r="E38" i="9"/>
  <c r="I38" i="9" s="1"/>
  <c r="E41" i="9"/>
  <c r="P41" i="9" s="1"/>
  <c r="E45" i="9"/>
  <c r="E49" i="9"/>
  <c r="AS49" i="9"/>
  <c r="AS56" i="9"/>
  <c r="AS64" i="9"/>
  <c r="AS18" i="9"/>
  <c r="AS35" i="9"/>
  <c r="E7" i="9"/>
  <c r="H7" i="9" s="1"/>
  <c r="E10" i="9"/>
  <c r="H10" i="9" s="1"/>
  <c r="AS13" i="9"/>
  <c r="AS16" i="9"/>
  <c r="E17" i="9"/>
  <c r="H17" i="9" s="1"/>
  <c r="F29" i="9"/>
  <c r="P29" i="9" s="1"/>
  <c r="F31" i="9"/>
  <c r="I31" i="9" s="1"/>
  <c r="AS34" i="9"/>
  <c r="AS37" i="9"/>
  <c r="AS40" i="9"/>
  <c r="AS44" i="9"/>
  <c r="AS48" i="9"/>
  <c r="AS53" i="9"/>
  <c r="AS63" i="9"/>
  <c r="AS6" i="9"/>
  <c r="AS9" i="9"/>
  <c r="AS20" i="9"/>
  <c r="AS23" i="9"/>
  <c r="AS27" i="9"/>
  <c r="AS30" i="9"/>
  <c r="AS33" i="9"/>
  <c r="AS55" i="9"/>
  <c r="AJ66" i="9"/>
  <c r="AR3" i="9"/>
  <c r="AI66" i="9"/>
  <c r="BA3" i="9"/>
  <c r="AY3" i="9"/>
  <c r="AM3" i="9"/>
  <c r="T3" i="9"/>
  <c r="E30" i="9"/>
  <c r="F30" i="9"/>
  <c r="S3" i="9"/>
  <c r="E22" i="9"/>
  <c r="F22" i="9"/>
  <c r="E28" i="9"/>
  <c r="F28" i="9"/>
  <c r="AA66" i="9"/>
  <c r="F23" i="9"/>
  <c r="H23" i="9" s="1"/>
  <c r="E26" i="9"/>
  <c r="P26" i="9" s="1"/>
  <c r="AB66" i="9"/>
  <c r="E21" i="9"/>
  <c r="AC66" i="9"/>
  <c r="E20" i="9"/>
  <c r="H20" i="9" s="1"/>
  <c r="F21" i="9"/>
  <c r="W66" i="9"/>
  <c r="AD66" i="9"/>
  <c r="AS22" i="9"/>
  <c r="E27" i="9"/>
  <c r="H27" i="9" s="1"/>
  <c r="AS28" i="9"/>
  <c r="E24" i="9"/>
  <c r="F24" i="9"/>
  <c r="F62" i="9"/>
  <c r="E62" i="9"/>
  <c r="AS31" i="9"/>
  <c r="F63" i="9"/>
  <c r="I63" i="9" s="1"/>
  <c r="F64" i="9"/>
  <c r="F65" i="9"/>
  <c r="H65" i="9" s="1"/>
  <c r="F65" i="6"/>
  <c r="AT64" i="6"/>
  <c r="F64" i="6"/>
  <c r="H64" i="6" s="1"/>
  <c r="H65" i="6" l="1"/>
  <c r="H53" i="9"/>
  <c r="AM4" i="9"/>
  <c r="P44" i="9"/>
  <c r="I51" i="9"/>
  <c r="H56" i="9"/>
  <c r="H55" i="9"/>
  <c r="H12" i="9"/>
  <c r="I12" i="9"/>
  <c r="I48" i="9"/>
  <c r="X4" i="9"/>
  <c r="AR4" i="9" s="1"/>
  <c r="S4" i="9"/>
  <c r="AN4" i="9" s="1"/>
  <c r="I47" i="9"/>
  <c r="I41" i="9"/>
  <c r="I49" i="9"/>
  <c r="P35" i="9"/>
  <c r="I6" i="9"/>
  <c r="I58" i="9"/>
  <c r="P57" i="9"/>
  <c r="P34" i="9"/>
  <c r="P6" i="9"/>
  <c r="I33" i="9"/>
  <c r="H47" i="9"/>
  <c r="I64" i="9"/>
  <c r="P45" i="9"/>
  <c r="H59" i="9"/>
  <c r="H49" i="9"/>
  <c r="P33" i="9"/>
  <c r="H34" i="9"/>
  <c r="P51" i="9"/>
  <c r="P47" i="9"/>
  <c r="H48" i="9"/>
  <c r="I52" i="9"/>
  <c r="H29" i="9"/>
  <c r="I29" i="9"/>
  <c r="P18" i="9"/>
  <c r="U3" i="9"/>
  <c r="V3" i="9"/>
  <c r="H41" i="9"/>
  <c r="I36" i="9"/>
  <c r="H40" i="9"/>
  <c r="P53" i="9"/>
  <c r="I13" i="9"/>
  <c r="I59" i="9"/>
  <c r="I56" i="9"/>
  <c r="P40" i="9"/>
  <c r="P55" i="9"/>
  <c r="I53" i="9"/>
  <c r="I55" i="9"/>
  <c r="P59" i="9"/>
  <c r="P56" i="9"/>
  <c r="P4" i="9"/>
  <c r="I50" i="9"/>
  <c r="I32" i="9"/>
  <c r="H19" i="9"/>
  <c r="H9" i="9"/>
  <c r="H36" i="9"/>
  <c r="P9" i="9"/>
  <c r="P15" i="9"/>
  <c r="I7" i="9"/>
  <c r="P13" i="9"/>
  <c r="H52" i="9"/>
  <c r="H4" i="9"/>
  <c r="P52" i="9"/>
  <c r="H51" i="9"/>
  <c r="P24" i="9"/>
  <c r="H43" i="9"/>
  <c r="H62" i="9"/>
  <c r="I43" i="9"/>
  <c r="H39" i="9"/>
  <c r="H45" i="9"/>
  <c r="H28" i="9"/>
  <c r="BA66" i="9"/>
  <c r="G20" i="7" s="1"/>
  <c r="AS66" i="9"/>
  <c r="I46" i="9"/>
  <c r="I11" i="9"/>
  <c r="H3" i="9"/>
  <c r="P7" i="9"/>
  <c r="I54" i="9"/>
  <c r="P61" i="9"/>
  <c r="P63" i="9"/>
  <c r="P17" i="9"/>
  <c r="H14" i="9"/>
  <c r="P46" i="9"/>
  <c r="H11" i="9"/>
  <c r="I60" i="9"/>
  <c r="H57" i="9"/>
  <c r="H38" i="9"/>
  <c r="P31" i="9"/>
  <c r="H16" i="9"/>
  <c r="I16" i="9"/>
  <c r="P48" i="9"/>
  <c r="I61" i="9"/>
  <c r="H46" i="9"/>
  <c r="I17" i="9"/>
  <c r="I4" i="9"/>
  <c r="P10" i="9"/>
  <c r="H50" i="9"/>
  <c r="P32" i="9"/>
  <c r="P38" i="9"/>
  <c r="I10" i="9"/>
  <c r="P20" i="9"/>
  <c r="I26" i="9"/>
  <c r="I3" i="9"/>
  <c r="I45" i="9"/>
  <c r="P49" i="9"/>
  <c r="H18" i="9"/>
  <c r="P5" i="9"/>
  <c r="H61" i="9"/>
  <c r="P11" i="9"/>
  <c r="P3" i="9"/>
  <c r="P54" i="9"/>
  <c r="H37" i="9"/>
  <c r="H25" i="9"/>
  <c r="H42" i="9"/>
  <c r="I57" i="9"/>
  <c r="I37" i="9"/>
  <c r="I25" i="9"/>
  <c r="H31" i="9"/>
  <c r="P19" i="9"/>
  <c r="P62" i="9"/>
  <c r="I27" i="9"/>
  <c r="P30" i="9"/>
  <c r="I5" i="9"/>
  <c r="H15" i="9"/>
  <c r="P50" i="9"/>
  <c r="H32" i="9"/>
  <c r="I14" i="9"/>
  <c r="H22" i="9"/>
  <c r="I30" i="9"/>
  <c r="I15" i="9"/>
  <c r="H58" i="9"/>
  <c r="H60" i="9"/>
  <c r="Q65" i="6"/>
  <c r="P60" i="9"/>
  <c r="P58" i="9"/>
  <c r="I65" i="9"/>
  <c r="H21" i="9"/>
  <c r="P8" i="9"/>
  <c r="H8" i="9"/>
  <c r="H54" i="9"/>
  <c r="H64" i="9"/>
  <c r="P42" i="9"/>
  <c r="AK3" i="9"/>
  <c r="I35" i="9"/>
  <c r="I42" i="9"/>
  <c r="I62" i="9"/>
  <c r="P27" i="9"/>
  <c r="T4" i="9"/>
  <c r="I39" i="9"/>
  <c r="I24" i="9"/>
  <c r="H24" i="9"/>
  <c r="P65" i="9"/>
  <c r="P21" i="9"/>
  <c r="P23" i="9"/>
  <c r="H63" i="9"/>
  <c r="P28" i="9"/>
  <c r="I22" i="9"/>
  <c r="H30" i="9"/>
  <c r="AO3" i="9"/>
  <c r="I21" i="9"/>
  <c r="AN3" i="9"/>
  <c r="P64" i="9"/>
  <c r="I20" i="9"/>
  <c r="I28" i="9"/>
  <c r="P22" i="9"/>
  <c r="AM5" i="9"/>
  <c r="T5" i="9"/>
  <c r="AO5" i="9" s="1"/>
  <c r="AR5" i="9"/>
  <c r="S5" i="9"/>
  <c r="R6" i="9"/>
  <c r="X6" i="9" s="1"/>
  <c r="I23" i="9"/>
  <c r="H26" i="9"/>
  <c r="I65" i="6"/>
  <c r="Q64" i="6"/>
  <c r="I64" i="6"/>
  <c r="V4" i="9" l="1"/>
  <c r="U4" i="9"/>
  <c r="AP4" i="9" s="1"/>
  <c r="AN5" i="9"/>
  <c r="V5" i="9"/>
  <c r="AQ5" i="9" s="1"/>
  <c r="U5" i="9"/>
  <c r="AP5" i="9" s="1"/>
  <c r="BB3" i="9"/>
  <c r="AQ4" i="9"/>
  <c r="AK4" i="9"/>
  <c r="BB4" i="9" s="1"/>
  <c r="AO4" i="9"/>
  <c r="AQ3" i="9"/>
  <c r="AP3" i="9"/>
  <c r="AM6" i="9"/>
  <c r="T6" i="9"/>
  <c r="AO6" i="9" s="1"/>
  <c r="AR6" i="9"/>
  <c r="R7" i="9"/>
  <c r="X7" i="9" s="1"/>
  <c r="S6" i="9"/>
  <c r="AK5" i="9"/>
  <c r="BB5" i="9" s="1"/>
  <c r="AI66" i="6"/>
  <c r="AX63" i="6"/>
  <c r="BC63" i="6"/>
  <c r="AZ63" i="6"/>
  <c r="BA63" i="6"/>
  <c r="AB63" i="6"/>
  <c r="BB63" i="6" s="1"/>
  <c r="AC63" i="6"/>
  <c r="AV63" i="6" s="1"/>
  <c r="AD63" i="6"/>
  <c r="AW63" i="6" s="1"/>
  <c r="AE63" i="6"/>
  <c r="X63" i="6"/>
  <c r="J63" i="6"/>
  <c r="K63" i="6"/>
  <c r="AU63" i="6" s="1"/>
  <c r="B63" i="6"/>
  <c r="G63" i="6" s="1"/>
  <c r="J4" i="6"/>
  <c r="J5" i="6"/>
  <c r="J6" i="6"/>
  <c r="J7" i="6"/>
  <c r="J8" i="6"/>
  <c r="J9" i="6"/>
  <c r="J10" i="6"/>
  <c r="J11" i="6"/>
  <c r="J12" i="6"/>
  <c r="J13" i="6"/>
  <c r="J14" i="6"/>
  <c r="J15" i="6"/>
  <c r="J16" i="6"/>
  <c r="J17" i="6"/>
  <c r="J18" i="6"/>
  <c r="J19" i="6"/>
  <c r="J20" i="6"/>
  <c r="J21" i="6"/>
  <c r="J22" i="6"/>
  <c r="J23" i="6"/>
  <c r="J24" i="6"/>
  <c r="J25" i="6"/>
  <c r="J26" i="6"/>
  <c r="J27" i="6"/>
  <c r="J28" i="6"/>
  <c r="J29" i="6"/>
  <c r="J30" i="6"/>
  <c r="J31" i="6"/>
  <c r="J32" i="6"/>
  <c r="J33" i="6"/>
  <c r="J34" i="6"/>
  <c r="J35" i="6"/>
  <c r="J36" i="6"/>
  <c r="J37" i="6"/>
  <c r="J38" i="6"/>
  <c r="J39" i="6"/>
  <c r="J40" i="6"/>
  <c r="J41" i="6"/>
  <c r="J42" i="6"/>
  <c r="J43" i="6"/>
  <c r="J44" i="6"/>
  <c r="J45" i="6"/>
  <c r="J46" i="6"/>
  <c r="J47" i="6"/>
  <c r="J48" i="6"/>
  <c r="J49" i="6"/>
  <c r="J50" i="6"/>
  <c r="J51" i="6"/>
  <c r="J52" i="6"/>
  <c r="J53" i="6"/>
  <c r="J54" i="6"/>
  <c r="J55" i="6"/>
  <c r="J56" i="6"/>
  <c r="J57" i="6"/>
  <c r="J58" i="6"/>
  <c r="J59" i="6"/>
  <c r="J60" i="6"/>
  <c r="J61" i="6"/>
  <c r="J62" i="6"/>
  <c r="J3" i="6"/>
  <c r="AX62" i="6"/>
  <c r="X62" i="6"/>
  <c r="BA62" i="6"/>
  <c r="AB62" i="6"/>
  <c r="BB62" i="6" s="1"/>
  <c r="AC62" i="6"/>
  <c r="AV62" i="6" s="1"/>
  <c r="AD62" i="6"/>
  <c r="AW62" i="6" s="1"/>
  <c r="AE62" i="6"/>
  <c r="BC62" i="6"/>
  <c r="AZ62" i="6"/>
  <c r="K62" i="6"/>
  <c r="AU62" i="6" s="1"/>
  <c r="B62" i="6"/>
  <c r="G62" i="6" s="1"/>
  <c r="Q33" i="7"/>
  <c r="Q32" i="7"/>
  <c r="Q31" i="7"/>
  <c r="P30" i="7"/>
  <c r="Q29" i="7"/>
  <c r="Q28" i="7"/>
  <c r="K4" i="6"/>
  <c r="K5" i="6"/>
  <c r="K6" i="6"/>
  <c r="K7" i="6"/>
  <c r="K8" i="6"/>
  <c r="K9" i="6"/>
  <c r="K10" i="6"/>
  <c r="K11" i="6"/>
  <c r="K12" i="6"/>
  <c r="K13" i="6"/>
  <c r="K14" i="6"/>
  <c r="K15" i="6"/>
  <c r="K16" i="6"/>
  <c r="K17" i="6"/>
  <c r="K18" i="6"/>
  <c r="K19" i="6"/>
  <c r="K20" i="6"/>
  <c r="K21" i="6"/>
  <c r="K22" i="6"/>
  <c r="K23" i="6"/>
  <c r="K24" i="6"/>
  <c r="K25" i="6"/>
  <c r="K26" i="6"/>
  <c r="K27" i="6"/>
  <c r="K28" i="6"/>
  <c r="K29" i="6"/>
  <c r="K30" i="6"/>
  <c r="K31" i="6"/>
  <c r="K32" i="6"/>
  <c r="K33" i="6"/>
  <c r="K34" i="6"/>
  <c r="K35" i="6"/>
  <c r="K36" i="6"/>
  <c r="K37" i="6"/>
  <c r="K38" i="6"/>
  <c r="K39" i="6"/>
  <c r="K40" i="6"/>
  <c r="K41" i="6"/>
  <c r="K42" i="6"/>
  <c r="K43" i="6"/>
  <c r="K44" i="6"/>
  <c r="K45" i="6"/>
  <c r="K46" i="6"/>
  <c r="K47" i="6"/>
  <c r="K48" i="6"/>
  <c r="K49" i="6"/>
  <c r="K50" i="6"/>
  <c r="K51" i="6"/>
  <c r="K52" i="6"/>
  <c r="K53" i="6"/>
  <c r="K54" i="6"/>
  <c r="K55" i="6"/>
  <c r="K56" i="6"/>
  <c r="K57" i="6"/>
  <c r="K58" i="6"/>
  <c r="K59" i="6"/>
  <c r="K60" i="6"/>
  <c r="K61" i="6"/>
  <c r="K3" i="6"/>
  <c r="B4" i="6"/>
  <c r="B5" i="6"/>
  <c r="B6" i="6"/>
  <c r="B7" i="6"/>
  <c r="B8" i="6"/>
  <c r="B9" i="6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G45" i="6" s="1"/>
  <c r="B46" i="6"/>
  <c r="G46" i="6" s="1"/>
  <c r="B47" i="6"/>
  <c r="G47" i="6" s="1"/>
  <c r="B48" i="6"/>
  <c r="G48" i="6" s="1"/>
  <c r="B49" i="6"/>
  <c r="G49" i="6" s="1"/>
  <c r="B50" i="6"/>
  <c r="G50" i="6" s="1"/>
  <c r="B51" i="6"/>
  <c r="G51" i="6" s="1"/>
  <c r="B52" i="6"/>
  <c r="G52" i="6" s="1"/>
  <c r="B53" i="6"/>
  <c r="G53" i="6" s="1"/>
  <c r="B54" i="6"/>
  <c r="G54" i="6" s="1"/>
  <c r="B55" i="6"/>
  <c r="G55" i="6" s="1"/>
  <c r="B56" i="6"/>
  <c r="G56" i="6" s="1"/>
  <c r="B57" i="6"/>
  <c r="G57" i="6" s="1"/>
  <c r="B58" i="6"/>
  <c r="G58" i="6" s="1"/>
  <c r="B59" i="6"/>
  <c r="G59" i="6" s="1"/>
  <c r="B60" i="6"/>
  <c r="G60" i="6" s="1"/>
  <c r="B61" i="6"/>
  <c r="G61" i="6" s="1"/>
  <c r="B3" i="6"/>
  <c r="AE4" i="6"/>
  <c r="AE5" i="6"/>
  <c r="AE6" i="6"/>
  <c r="AE7" i="6"/>
  <c r="AE8" i="6"/>
  <c r="AE9" i="6"/>
  <c r="AE10" i="6"/>
  <c r="AE11" i="6"/>
  <c r="AE12" i="6"/>
  <c r="AE13" i="6"/>
  <c r="AE14" i="6"/>
  <c r="AE15" i="6"/>
  <c r="AE16" i="6"/>
  <c r="AE17" i="6"/>
  <c r="AE18" i="6"/>
  <c r="AE19" i="6"/>
  <c r="AE20" i="6"/>
  <c r="AE21" i="6"/>
  <c r="AE22" i="6"/>
  <c r="AE23" i="6"/>
  <c r="AE24" i="6"/>
  <c r="AE25" i="6"/>
  <c r="AE26" i="6"/>
  <c r="AE27" i="6"/>
  <c r="AE28" i="6"/>
  <c r="AE29" i="6"/>
  <c r="AE30" i="6"/>
  <c r="AE31" i="6"/>
  <c r="AE32" i="6"/>
  <c r="AE33" i="6"/>
  <c r="AE34" i="6"/>
  <c r="AE35" i="6"/>
  <c r="AE36" i="6"/>
  <c r="AE37" i="6"/>
  <c r="AE38" i="6"/>
  <c r="AE39" i="6"/>
  <c r="AE40" i="6"/>
  <c r="AE41" i="6"/>
  <c r="AE42" i="6"/>
  <c r="AE43" i="6"/>
  <c r="AE44" i="6"/>
  <c r="AE45" i="6"/>
  <c r="AE46" i="6"/>
  <c r="AE47" i="6"/>
  <c r="AE48" i="6"/>
  <c r="AE49" i="6"/>
  <c r="AE50" i="6"/>
  <c r="AE51" i="6"/>
  <c r="AE52" i="6"/>
  <c r="AE53" i="6"/>
  <c r="AE54" i="6"/>
  <c r="AE55" i="6"/>
  <c r="AE56" i="6"/>
  <c r="AE57" i="6"/>
  <c r="AE58" i="6"/>
  <c r="AE59" i="6"/>
  <c r="AE60" i="6"/>
  <c r="AE61" i="6"/>
  <c r="AE3" i="6"/>
  <c r="AN6" i="9" l="1"/>
  <c r="U6" i="9"/>
  <c r="AP6" i="9" s="1"/>
  <c r="V6" i="9"/>
  <c r="AQ6" i="9" s="1"/>
  <c r="BD4" i="9"/>
  <c r="AR7" i="9"/>
  <c r="Z7" i="9"/>
  <c r="AY7" i="9" s="1"/>
  <c r="BD5" i="9"/>
  <c r="AE66" i="6"/>
  <c r="BD3" i="9"/>
  <c r="AM7" i="9"/>
  <c r="T7" i="9"/>
  <c r="R8" i="9"/>
  <c r="X8" i="9" s="1"/>
  <c r="S7" i="9"/>
  <c r="AK6" i="9"/>
  <c r="BB6" i="9" s="1"/>
  <c r="F63" i="6"/>
  <c r="Q30" i="7"/>
  <c r="Q35" i="7" s="1"/>
  <c r="AT63" i="6"/>
  <c r="E63" i="6"/>
  <c r="AT62" i="6"/>
  <c r="E62" i="6"/>
  <c r="F62" i="6"/>
  <c r="AC4" i="6"/>
  <c r="AC5" i="6"/>
  <c r="AC6" i="6"/>
  <c r="AC7" i="6"/>
  <c r="AC8" i="6"/>
  <c r="AC9" i="6"/>
  <c r="AC10" i="6"/>
  <c r="AC11" i="6"/>
  <c r="AC12" i="6"/>
  <c r="AC13" i="6"/>
  <c r="AC14" i="6"/>
  <c r="AC15" i="6"/>
  <c r="AC16" i="6"/>
  <c r="AC17" i="6"/>
  <c r="AC18" i="6"/>
  <c r="AC19" i="6"/>
  <c r="AC20" i="6"/>
  <c r="AC21" i="6"/>
  <c r="AC22" i="6"/>
  <c r="AC23" i="6"/>
  <c r="AC24" i="6"/>
  <c r="AC25" i="6"/>
  <c r="AC26" i="6"/>
  <c r="AC27" i="6"/>
  <c r="AC28" i="6"/>
  <c r="AC29" i="6"/>
  <c r="AC30" i="6"/>
  <c r="AC31" i="6"/>
  <c r="AC32" i="6"/>
  <c r="AC33" i="6"/>
  <c r="AC34" i="6"/>
  <c r="AC35" i="6"/>
  <c r="AC36" i="6"/>
  <c r="AC37" i="6"/>
  <c r="AC38" i="6"/>
  <c r="AC39" i="6"/>
  <c r="AC40" i="6"/>
  <c r="AC41" i="6"/>
  <c r="AC42" i="6"/>
  <c r="AC43" i="6"/>
  <c r="AC44" i="6"/>
  <c r="AC45" i="6"/>
  <c r="AC46" i="6"/>
  <c r="AC47" i="6"/>
  <c r="AC48" i="6"/>
  <c r="AC49" i="6"/>
  <c r="AC50" i="6"/>
  <c r="AC51" i="6"/>
  <c r="AC52" i="6"/>
  <c r="AC53" i="6"/>
  <c r="AC54" i="6"/>
  <c r="AC55" i="6"/>
  <c r="AC56" i="6"/>
  <c r="AC57" i="6"/>
  <c r="AC58" i="6"/>
  <c r="AC59" i="6"/>
  <c r="AC60" i="6"/>
  <c r="AC61" i="6"/>
  <c r="AC3" i="6"/>
  <c r="AB4" i="6"/>
  <c r="AB5" i="6"/>
  <c r="AB6" i="6"/>
  <c r="AB7" i="6"/>
  <c r="AB8" i="6"/>
  <c r="AB9" i="6"/>
  <c r="AB10" i="6"/>
  <c r="AB11" i="6"/>
  <c r="AB12" i="6"/>
  <c r="AB13" i="6"/>
  <c r="AB14" i="6"/>
  <c r="AB15" i="6"/>
  <c r="AB16" i="6"/>
  <c r="AB17" i="6"/>
  <c r="AB18" i="6"/>
  <c r="AB19" i="6"/>
  <c r="AB20" i="6"/>
  <c r="AB21" i="6"/>
  <c r="AB22" i="6"/>
  <c r="AB23" i="6"/>
  <c r="AB24" i="6"/>
  <c r="AB25" i="6"/>
  <c r="AB26" i="6"/>
  <c r="AB27" i="6"/>
  <c r="AB28" i="6"/>
  <c r="AB29" i="6"/>
  <c r="AB30" i="6"/>
  <c r="AB31" i="6"/>
  <c r="AB32" i="6"/>
  <c r="AB33" i="6"/>
  <c r="AB34" i="6"/>
  <c r="AB35" i="6"/>
  <c r="AB36" i="6"/>
  <c r="AB37" i="6"/>
  <c r="AB38" i="6"/>
  <c r="AB39" i="6"/>
  <c r="AB40" i="6"/>
  <c r="AB41" i="6"/>
  <c r="BB41" i="6" s="1"/>
  <c r="AB42" i="6"/>
  <c r="BB42" i="6" s="1"/>
  <c r="AB43" i="6"/>
  <c r="BB43" i="6" s="1"/>
  <c r="AB44" i="6"/>
  <c r="BB44" i="6" s="1"/>
  <c r="AB45" i="6"/>
  <c r="BB45" i="6" s="1"/>
  <c r="AB46" i="6"/>
  <c r="BB46" i="6" s="1"/>
  <c r="AB47" i="6"/>
  <c r="BB47" i="6" s="1"/>
  <c r="AB48" i="6"/>
  <c r="BB48" i="6" s="1"/>
  <c r="AB49" i="6"/>
  <c r="BB49" i="6" s="1"/>
  <c r="AB50" i="6"/>
  <c r="BB50" i="6" s="1"/>
  <c r="AB51" i="6"/>
  <c r="BB51" i="6" s="1"/>
  <c r="AB52" i="6"/>
  <c r="BB52" i="6" s="1"/>
  <c r="AB53" i="6"/>
  <c r="BB53" i="6" s="1"/>
  <c r="AB54" i="6"/>
  <c r="BB54" i="6" s="1"/>
  <c r="AB55" i="6"/>
  <c r="BB55" i="6" s="1"/>
  <c r="AB56" i="6"/>
  <c r="BB56" i="6" s="1"/>
  <c r="AB57" i="6"/>
  <c r="BB57" i="6" s="1"/>
  <c r="AB58" i="6"/>
  <c r="BB58" i="6" s="1"/>
  <c r="AB59" i="6"/>
  <c r="BB59" i="6" s="1"/>
  <c r="AB60" i="6"/>
  <c r="BB60" i="6" s="1"/>
  <c r="AB61" i="6"/>
  <c r="BB61" i="6" s="1"/>
  <c r="AB3" i="6"/>
  <c r="X4" i="6"/>
  <c r="X5" i="6"/>
  <c r="X6" i="6"/>
  <c r="X7" i="6"/>
  <c r="X8" i="6"/>
  <c r="X9" i="6"/>
  <c r="X10" i="6"/>
  <c r="X11" i="6"/>
  <c r="X12" i="6"/>
  <c r="X13" i="6"/>
  <c r="X14" i="6"/>
  <c r="X15" i="6"/>
  <c r="X16" i="6"/>
  <c r="X17" i="6"/>
  <c r="X18" i="6"/>
  <c r="X19" i="6"/>
  <c r="X20" i="6"/>
  <c r="X21" i="6"/>
  <c r="X22" i="6"/>
  <c r="X23" i="6"/>
  <c r="X24" i="6"/>
  <c r="X25" i="6"/>
  <c r="X26" i="6"/>
  <c r="X27" i="6"/>
  <c r="X28" i="6"/>
  <c r="X29" i="6"/>
  <c r="X30" i="6"/>
  <c r="X31" i="6"/>
  <c r="X32" i="6"/>
  <c r="X33" i="6"/>
  <c r="X34" i="6"/>
  <c r="X35" i="6"/>
  <c r="X36" i="6"/>
  <c r="X37" i="6"/>
  <c r="X38" i="6"/>
  <c r="X39" i="6"/>
  <c r="X40" i="6"/>
  <c r="X41" i="6"/>
  <c r="X42" i="6"/>
  <c r="X43" i="6"/>
  <c r="X44" i="6"/>
  <c r="X45" i="6"/>
  <c r="X46" i="6"/>
  <c r="X47" i="6"/>
  <c r="X48" i="6"/>
  <c r="X49" i="6"/>
  <c r="X50" i="6"/>
  <c r="X51" i="6"/>
  <c r="X52" i="6"/>
  <c r="X53" i="6"/>
  <c r="X54" i="6"/>
  <c r="X55" i="6"/>
  <c r="X56" i="6"/>
  <c r="X57" i="6"/>
  <c r="X58" i="6"/>
  <c r="X59" i="6"/>
  <c r="X60" i="6"/>
  <c r="X61" i="6"/>
  <c r="X3" i="6"/>
  <c r="AN7" i="9" l="1"/>
  <c r="V7" i="9"/>
  <c r="U7" i="9"/>
  <c r="AP7" i="9" s="1"/>
  <c r="AC66" i="6"/>
  <c r="X66" i="6"/>
  <c r="AB66" i="6"/>
  <c r="H63" i="6"/>
  <c r="BD6" i="9"/>
  <c r="AO7" i="9"/>
  <c r="AK7" i="9"/>
  <c r="BB7" i="9" s="1"/>
  <c r="AM8" i="9"/>
  <c r="T8" i="9"/>
  <c r="AO8" i="9" s="1"/>
  <c r="R9" i="9"/>
  <c r="X9" i="9" s="1"/>
  <c r="S8" i="9"/>
  <c r="Q63" i="6"/>
  <c r="I62" i="6"/>
  <c r="I63" i="6"/>
  <c r="H62" i="6"/>
  <c r="Q62" i="6"/>
  <c r="U8" i="9" l="1"/>
  <c r="AP8" i="9" s="1"/>
  <c r="V8" i="9"/>
  <c r="AQ8" i="9" s="1"/>
  <c r="AN8" i="9"/>
  <c r="AM9" i="9"/>
  <c r="T9" i="9"/>
  <c r="AO9" i="9" s="1"/>
  <c r="R10" i="9"/>
  <c r="X10" i="9" s="1"/>
  <c r="S9" i="9"/>
  <c r="AR9" i="9"/>
  <c r="AQ7" i="9"/>
  <c r="AK8" i="9"/>
  <c r="BB8" i="9" s="1"/>
  <c r="AR8" i="9"/>
  <c r="BB4" i="6"/>
  <c r="BB5" i="6"/>
  <c r="BB6" i="6"/>
  <c r="BB7" i="6"/>
  <c r="BB8" i="6"/>
  <c r="BB9" i="6"/>
  <c r="BB10" i="6"/>
  <c r="BB11" i="6"/>
  <c r="BB12" i="6"/>
  <c r="BB13" i="6"/>
  <c r="BB14" i="6"/>
  <c r="BB15" i="6"/>
  <c r="BB16" i="6"/>
  <c r="BB17" i="6"/>
  <c r="BB18" i="6"/>
  <c r="BB19" i="6"/>
  <c r="BB20" i="6"/>
  <c r="BB21" i="6"/>
  <c r="BB22" i="6"/>
  <c r="BB23" i="6"/>
  <c r="BB24" i="6"/>
  <c r="BB25" i="6"/>
  <c r="BB26" i="6"/>
  <c r="BB27" i="6"/>
  <c r="BB28" i="6"/>
  <c r="BB29" i="6"/>
  <c r="BB30" i="6"/>
  <c r="BB31" i="6"/>
  <c r="BB32" i="6"/>
  <c r="BB33" i="6"/>
  <c r="BB34" i="6"/>
  <c r="BB35" i="6"/>
  <c r="BB36" i="6"/>
  <c r="BB37" i="6"/>
  <c r="BB38" i="6"/>
  <c r="BB39" i="6"/>
  <c r="BB40" i="6"/>
  <c r="BC15" i="6"/>
  <c r="BC16" i="6"/>
  <c r="BC17" i="6"/>
  <c r="BC18" i="6"/>
  <c r="BC19" i="6"/>
  <c r="BC20" i="6"/>
  <c r="BC21" i="6"/>
  <c r="BC22" i="6"/>
  <c r="BC23" i="6"/>
  <c r="BC24" i="6"/>
  <c r="BC25" i="6"/>
  <c r="BC26" i="6"/>
  <c r="BC27" i="6"/>
  <c r="BC28" i="6"/>
  <c r="BC29" i="6"/>
  <c r="BC30" i="6"/>
  <c r="BC31" i="6"/>
  <c r="BC32" i="6"/>
  <c r="BC33" i="6"/>
  <c r="BC34" i="6"/>
  <c r="BC35" i="6"/>
  <c r="BC36" i="6"/>
  <c r="BC37" i="6"/>
  <c r="BC38" i="6"/>
  <c r="BC39" i="6"/>
  <c r="BC40" i="6"/>
  <c r="BC41" i="6"/>
  <c r="BC42" i="6"/>
  <c r="BC43" i="6"/>
  <c r="BC44" i="6"/>
  <c r="BC45" i="6"/>
  <c r="BC46" i="6"/>
  <c r="BC47" i="6"/>
  <c r="BC48" i="6"/>
  <c r="BC49" i="6"/>
  <c r="BC50" i="6"/>
  <c r="BC51" i="6"/>
  <c r="BC52" i="6"/>
  <c r="BC53" i="6"/>
  <c r="BC54" i="6"/>
  <c r="BC55" i="6"/>
  <c r="BC56" i="6"/>
  <c r="BC57" i="6"/>
  <c r="BC58" i="6"/>
  <c r="BC59" i="6"/>
  <c r="BC60" i="6"/>
  <c r="BC61" i="6"/>
  <c r="BC4" i="6"/>
  <c r="BC5" i="6"/>
  <c r="BC6" i="6"/>
  <c r="BC7" i="6"/>
  <c r="BC8" i="6"/>
  <c r="BC9" i="6"/>
  <c r="BC10" i="6"/>
  <c r="BC11" i="6"/>
  <c r="BC12" i="6"/>
  <c r="BC13" i="6"/>
  <c r="BC14" i="6"/>
  <c r="L31" i="7"/>
  <c r="L30" i="7"/>
  <c r="L29" i="7"/>
  <c r="L27" i="7"/>
  <c r="L26" i="7"/>
  <c r="K28" i="7"/>
  <c r="L28" i="7" s="1"/>
  <c r="E49" i="6"/>
  <c r="AX4" i="6"/>
  <c r="AX5" i="6"/>
  <c r="AX6" i="6"/>
  <c r="AX7" i="6"/>
  <c r="AX8" i="6"/>
  <c r="AX9" i="6"/>
  <c r="AX10" i="6"/>
  <c r="AX11" i="6"/>
  <c r="AX12" i="6"/>
  <c r="AX13" i="6"/>
  <c r="AX14" i="6"/>
  <c r="AX15" i="6"/>
  <c r="AX16" i="6"/>
  <c r="AX17" i="6"/>
  <c r="AX18" i="6"/>
  <c r="AX19" i="6"/>
  <c r="AX20" i="6"/>
  <c r="AX21" i="6"/>
  <c r="AX22" i="6"/>
  <c r="AX23" i="6"/>
  <c r="AX24" i="6"/>
  <c r="AX25" i="6"/>
  <c r="AX26" i="6"/>
  <c r="AX27" i="6"/>
  <c r="AX28" i="6"/>
  <c r="AX29" i="6"/>
  <c r="AX30" i="6"/>
  <c r="AX31" i="6"/>
  <c r="AX32" i="6"/>
  <c r="AX33" i="6"/>
  <c r="AX34" i="6"/>
  <c r="AX35" i="6"/>
  <c r="AX36" i="6"/>
  <c r="AX37" i="6"/>
  <c r="AX38" i="6"/>
  <c r="AX39" i="6"/>
  <c r="AX40" i="6"/>
  <c r="AX41" i="6"/>
  <c r="AX42" i="6"/>
  <c r="AX43" i="6"/>
  <c r="AX44" i="6"/>
  <c r="AX45" i="6"/>
  <c r="AX46" i="6"/>
  <c r="AX47" i="6"/>
  <c r="AX48" i="6"/>
  <c r="AX49" i="6"/>
  <c r="AX50" i="6"/>
  <c r="AX51" i="6"/>
  <c r="AX52" i="6"/>
  <c r="AX53" i="6"/>
  <c r="AX54" i="6"/>
  <c r="AX55" i="6"/>
  <c r="AX56" i="6"/>
  <c r="AX57" i="6"/>
  <c r="AX58" i="6"/>
  <c r="AX59" i="6"/>
  <c r="AX60" i="6"/>
  <c r="AX61" i="6"/>
  <c r="AX3" i="6"/>
  <c r="AU4" i="6"/>
  <c r="AU5" i="6"/>
  <c r="AU6" i="6"/>
  <c r="AU7" i="6"/>
  <c r="AU8" i="6"/>
  <c r="AU9" i="6"/>
  <c r="AU10" i="6"/>
  <c r="AU11" i="6"/>
  <c r="AU12" i="6"/>
  <c r="AU13" i="6"/>
  <c r="AU14" i="6"/>
  <c r="AU15" i="6"/>
  <c r="AU16" i="6"/>
  <c r="AU17" i="6"/>
  <c r="AU18" i="6"/>
  <c r="AU19" i="6"/>
  <c r="AU20" i="6"/>
  <c r="AU21" i="6"/>
  <c r="AU22" i="6"/>
  <c r="AU23" i="6"/>
  <c r="AU24" i="6"/>
  <c r="AU25" i="6"/>
  <c r="AU26" i="6"/>
  <c r="AU27" i="6"/>
  <c r="AU28" i="6"/>
  <c r="AU29" i="6"/>
  <c r="AU30" i="6"/>
  <c r="AU31" i="6"/>
  <c r="AU32" i="6"/>
  <c r="AU33" i="6"/>
  <c r="AU34" i="6"/>
  <c r="AU35" i="6"/>
  <c r="AU36" i="6"/>
  <c r="AU37" i="6"/>
  <c r="AU38" i="6"/>
  <c r="AU39" i="6"/>
  <c r="AU40" i="6"/>
  <c r="AU41" i="6"/>
  <c r="AU42" i="6"/>
  <c r="AU43" i="6"/>
  <c r="AU44" i="6"/>
  <c r="AU45" i="6"/>
  <c r="AU46" i="6"/>
  <c r="AU47" i="6"/>
  <c r="AU48" i="6"/>
  <c r="AU49" i="6"/>
  <c r="AU50" i="6"/>
  <c r="AU51" i="6"/>
  <c r="AU52" i="6"/>
  <c r="AU53" i="6"/>
  <c r="AU54" i="6"/>
  <c r="AU55" i="6"/>
  <c r="AU56" i="6"/>
  <c r="AU57" i="6"/>
  <c r="AU58" i="6"/>
  <c r="AU59" i="6"/>
  <c r="AU60" i="6"/>
  <c r="AU61" i="6"/>
  <c r="AU3" i="6"/>
  <c r="AT4" i="6"/>
  <c r="AT5" i="6"/>
  <c r="AT6" i="6"/>
  <c r="AT7" i="6"/>
  <c r="AT8" i="6"/>
  <c r="AT9" i="6"/>
  <c r="AT10" i="6"/>
  <c r="AT11" i="6"/>
  <c r="AT12" i="6"/>
  <c r="AT13" i="6"/>
  <c r="AT14" i="6"/>
  <c r="AT15" i="6"/>
  <c r="AT16" i="6"/>
  <c r="AT17" i="6"/>
  <c r="AT18" i="6"/>
  <c r="AT19" i="6"/>
  <c r="AT20" i="6"/>
  <c r="AT21" i="6"/>
  <c r="AT22" i="6"/>
  <c r="AT23" i="6"/>
  <c r="AT24" i="6"/>
  <c r="AT25" i="6"/>
  <c r="AT26" i="6"/>
  <c r="AT27" i="6"/>
  <c r="AT28" i="6"/>
  <c r="AT29" i="6"/>
  <c r="AT30" i="6"/>
  <c r="AT31" i="6"/>
  <c r="AT32" i="6"/>
  <c r="AT33" i="6"/>
  <c r="AT34" i="6"/>
  <c r="AT35" i="6"/>
  <c r="AT36" i="6"/>
  <c r="AT37" i="6"/>
  <c r="AT38" i="6"/>
  <c r="AT39" i="6"/>
  <c r="AT40" i="6"/>
  <c r="AT41" i="6"/>
  <c r="AT42" i="6"/>
  <c r="AT43" i="6"/>
  <c r="AT44" i="6"/>
  <c r="AT45" i="6"/>
  <c r="AT46" i="6"/>
  <c r="AT47" i="6"/>
  <c r="AT48" i="6"/>
  <c r="AT49" i="6"/>
  <c r="AT50" i="6"/>
  <c r="AT51" i="6"/>
  <c r="AT52" i="6"/>
  <c r="AT3" i="6"/>
  <c r="AD28" i="6"/>
  <c r="AW28" i="6" s="1"/>
  <c r="AD29" i="6"/>
  <c r="AW29" i="6" s="1"/>
  <c r="AD30" i="6"/>
  <c r="AW30" i="6" s="1"/>
  <c r="AD31" i="6"/>
  <c r="AW31" i="6" s="1"/>
  <c r="AD32" i="6"/>
  <c r="AW32" i="6" s="1"/>
  <c r="AD33" i="6"/>
  <c r="AW33" i="6" s="1"/>
  <c r="AD34" i="6"/>
  <c r="AW34" i="6" s="1"/>
  <c r="AD35" i="6"/>
  <c r="AW35" i="6" s="1"/>
  <c r="AD36" i="6"/>
  <c r="AW36" i="6" s="1"/>
  <c r="AD37" i="6"/>
  <c r="AW37" i="6" s="1"/>
  <c r="AD38" i="6"/>
  <c r="AW38" i="6" s="1"/>
  <c r="AD39" i="6"/>
  <c r="AW39" i="6" s="1"/>
  <c r="AD40" i="6"/>
  <c r="AW40" i="6" s="1"/>
  <c r="AD41" i="6"/>
  <c r="AW41" i="6" s="1"/>
  <c r="AD42" i="6"/>
  <c r="AW42" i="6" s="1"/>
  <c r="AD43" i="6"/>
  <c r="AW43" i="6" s="1"/>
  <c r="AD44" i="6"/>
  <c r="AW44" i="6" s="1"/>
  <c r="AD45" i="6"/>
  <c r="AW45" i="6" s="1"/>
  <c r="AD46" i="6"/>
  <c r="AW46" i="6" s="1"/>
  <c r="AD47" i="6"/>
  <c r="AW47" i="6" s="1"/>
  <c r="AD48" i="6"/>
  <c r="AW48" i="6" s="1"/>
  <c r="AD49" i="6"/>
  <c r="AW49" i="6" s="1"/>
  <c r="AD50" i="6"/>
  <c r="AW50" i="6" s="1"/>
  <c r="AD51" i="6"/>
  <c r="AW51" i="6" s="1"/>
  <c r="AD52" i="6"/>
  <c r="AW52" i="6" s="1"/>
  <c r="AD53" i="6"/>
  <c r="AW53" i="6" s="1"/>
  <c r="AD54" i="6"/>
  <c r="AW54" i="6" s="1"/>
  <c r="AD55" i="6"/>
  <c r="AW55" i="6" s="1"/>
  <c r="AD56" i="6"/>
  <c r="AW56" i="6" s="1"/>
  <c r="AD57" i="6"/>
  <c r="AW57" i="6" s="1"/>
  <c r="AD58" i="6"/>
  <c r="AW58" i="6" s="1"/>
  <c r="AD59" i="6"/>
  <c r="AW59" i="6" s="1"/>
  <c r="AD60" i="6"/>
  <c r="AW60" i="6" s="1"/>
  <c r="AD61" i="6"/>
  <c r="AW61" i="6" s="1"/>
  <c r="AD4" i="6"/>
  <c r="AW4" i="6" s="1"/>
  <c r="AD5" i="6"/>
  <c r="AW5" i="6" s="1"/>
  <c r="AD6" i="6"/>
  <c r="AW6" i="6" s="1"/>
  <c r="AD7" i="6"/>
  <c r="AW7" i="6" s="1"/>
  <c r="AD8" i="6"/>
  <c r="AW8" i="6" s="1"/>
  <c r="AD9" i="6"/>
  <c r="AW9" i="6" s="1"/>
  <c r="AD10" i="6"/>
  <c r="AW10" i="6" s="1"/>
  <c r="AD11" i="6"/>
  <c r="AW11" i="6" s="1"/>
  <c r="AD12" i="6"/>
  <c r="AW12" i="6" s="1"/>
  <c r="AD13" i="6"/>
  <c r="AW13" i="6" s="1"/>
  <c r="AD14" i="6"/>
  <c r="AW14" i="6" s="1"/>
  <c r="AD15" i="6"/>
  <c r="AW15" i="6" s="1"/>
  <c r="AD16" i="6"/>
  <c r="AW16" i="6" s="1"/>
  <c r="AD17" i="6"/>
  <c r="AW17" i="6" s="1"/>
  <c r="AD18" i="6"/>
  <c r="AW18" i="6" s="1"/>
  <c r="AD19" i="6"/>
  <c r="AW19" i="6" s="1"/>
  <c r="AD20" i="6"/>
  <c r="AW20" i="6" s="1"/>
  <c r="AD21" i="6"/>
  <c r="AW21" i="6" s="1"/>
  <c r="AD22" i="6"/>
  <c r="AW22" i="6" s="1"/>
  <c r="AD23" i="6"/>
  <c r="AW23" i="6" s="1"/>
  <c r="AD24" i="6"/>
  <c r="AW24" i="6" s="1"/>
  <c r="AD25" i="6"/>
  <c r="AW25" i="6" s="1"/>
  <c r="AD26" i="6"/>
  <c r="AW26" i="6" s="1"/>
  <c r="AD27" i="6"/>
  <c r="AW27" i="6" s="1"/>
  <c r="AD3" i="6"/>
  <c r="AV33" i="6"/>
  <c r="AV34" i="6"/>
  <c r="AV35" i="6"/>
  <c r="AV36" i="6"/>
  <c r="AV37" i="6"/>
  <c r="AV38" i="6"/>
  <c r="AV39" i="6"/>
  <c r="AV40" i="6"/>
  <c r="AV41" i="6"/>
  <c r="AV42" i="6"/>
  <c r="AV43" i="6"/>
  <c r="AV44" i="6"/>
  <c r="AV45" i="6"/>
  <c r="AV46" i="6"/>
  <c r="AV47" i="6"/>
  <c r="AV48" i="6"/>
  <c r="AV49" i="6"/>
  <c r="AV51" i="6"/>
  <c r="AV52" i="6"/>
  <c r="AV53" i="6"/>
  <c r="AV54" i="6"/>
  <c r="AV55" i="6"/>
  <c r="AV56" i="6"/>
  <c r="AV57" i="6"/>
  <c r="AV58" i="6"/>
  <c r="AV59" i="6"/>
  <c r="AV60" i="6"/>
  <c r="AV61" i="6"/>
  <c r="AV4" i="6"/>
  <c r="AV5" i="6"/>
  <c r="AV6" i="6"/>
  <c r="AV7" i="6"/>
  <c r="AV8" i="6"/>
  <c r="AV9" i="6"/>
  <c r="AV10" i="6"/>
  <c r="AV11" i="6"/>
  <c r="AV12" i="6"/>
  <c r="AV13" i="6"/>
  <c r="AV14" i="6"/>
  <c r="AV15" i="6"/>
  <c r="AV16" i="6"/>
  <c r="AV17" i="6"/>
  <c r="AV18" i="6"/>
  <c r="AV19" i="6"/>
  <c r="AV20" i="6"/>
  <c r="AV21" i="6"/>
  <c r="AV22" i="6"/>
  <c r="AV23" i="6"/>
  <c r="AV24" i="6"/>
  <c r="AV25" i="6"/>
  <c r="AV26" i="6"/>
  <c r="AV27" i="6"/>
  <c r="AV28" i="6"/>
  <c r="AV29" i="6"/>
  <c r="AV30" i="6"/>
  <c r="AV31" i="6"/>
  <c r="AV32" i="6"/>
  <c r="AV3" i="6"/>
  <c r="AG31" i="6"/>
  <c r="AG19" i="6"/>
  <c r="AZ4" i="6"/>
  <c r="AZ5" i="6"/>
  <c r="AZ6" i="6"/>
  <c r="AZ7" i="6"/>
  <c r="AZ8" i="6"/>
  <c r="AZ9" i="6"/>
  <c r="AZ10" i="6"/>
  <c r="AZ11" i="6"/>
  <c r="AZ12" i="6"/>
  <c r="AZ13" i="6"/>
  <c r="AZ14" i="6"/>
  <c r="AZ15" i="6"/>
  <c r="AZ16" i="6"/>
  <c r="AZ17" i="6"/>
  <c r="AZ18" i="6"/>
  <c r="AZ19" i="6"/>
  <c r="AZ20" i="6"/>
  <c r="AZ21" i="6"/>
  <c r="AZ22" i="6"/>
  <c r="AZ23" i="6"/>
  <c r="AZ24" i="6"/>
  <c r="AZ25" i="6"/>
  <c r="AZ26" i="6"/>
  <c r="AZ27" i="6"/>
  <c r="AZ28" i="6"/>
  <c r="AZ29" i="6"/>
  <c r="AZ30" i="6"/>
  <c r="AZ31" i="6"/>
  <c r="AZ32" i="6"/>
  <c r="AZ33" i="6"/>
  <c r="AZ34" i="6"/>
  <c r="AZ35" i="6"/>
  <c r="AZ36" i="6"/>
  <c r="AZ37" i="6"/>
  <c r="AZ38" i="6"/>
  <c r="AZ39" i="6"/>
  <c r="AZ40" i="6"/>
  <c r="AZ41" i="6"/>
  <c r="AZ42" i="6"/>
  <c r="AZ43" i="6"/>
  <c r="AZ44" i="6"/>
  <c r="AZ45" i="6"/>
  <c r="AZ46" i="6"/>
  <c r="AZ47" i="6"/>
  <c r="AZ48" i="6"/>
  <c r="AZ49" i="6"/>
  <c r="AZ50" i="6"/>
  <c r="AZ51" i="6"/>
  <c r="AZ52" i="6"/>
  <c r="AZ53" i="6"/>
  <c r="AZ54" i="6"/>
  <c r="AZ55" i="6"/>
  <c r="AZ56" i="6"/>
  <c r="AZ57" i="6"/>
  <c r="AZ58" i="6"/>
  <c r="AZ59" i="6"/>
  <c r="AZ60" i="6"/>
  <c r="AZ61" i="6"/>
  <c r="L50" i="6"/>
  <c r="BA4" i="6"/>
  <c r="BA5" i="6"/>
  <c r="BA6" i="6"/>
  <c r="BA8" i="6"/>
  <c r="BA9" i="6"/>
  <c r="BA10" i="6"/>
  <c r="BA11" i="6"/>
  <c r="BA12" i="6"/>
  <c r="BA13" i="6"/>
  <c r="BA14" i="6"/>
  <c r="BA16" i="6"/>
  <c r="BA17" i="6"/>
  <c r="BA18" i="6"/>
  <c r="BA19" i="6"/>
  <c r="BA20" i="6"/>
  <c r="BA21" i="6"/>
  <c r="BA22" i="6"/>
  <c r="BA23" i="6"/>
  <c r="BA24" i="6"/>
  <c r="BA26" i="6"/>
  <c r="BA28" i="6"/>
  <c r="BA29" i="6"/>
  <c r="BA30" i="6"/>
  <c r="BA31" i="6"/>
  <c r="BA32" i="6"/>
  <c r="BA33" i="6"/>
  <c r="BA34" i="6"/>
  <c r="BA35" i="6"/>
  <c r="BA36" i="6"/>
  <c r="BA37" i="6"/>
  <c r="BA38" i="6"/>
  <c r="BA42" i="6"/>
  <c r="BA45" i="6"/>
  <c r="BA46" i="6"/>
  <c r="BA47" i="6"/>
  <c r="BA48" i="6"/>
  <c r="BA50" i="6"/>
  <c r="BA51" i="6"/>
  <c r="BA52" i="6"/>
  <c r="BA53" i="6"/>
  <c r="BA54" i="6"/>
  <c r="BA55" i="6"/>
  <c r="BA56" i="6"/>
  <c r="BA57" i="6"/>
  <c r="BA58" i="6"/>
  <c r="BA59" i="6"/>
  <c r="BA60" i="6"/>
  <c r="S3" i="6"/>
  <c r="E8" i="6"/>
  <c r="E10" i="6"/>
  <c r="E12" i="6"/>
  <c r="F13" i="6"/>
  <c r="E14" i="6"/>
  <c r="E15" i="6"/>
  <c r="E20" i="6"/>
  <c r="E24" i="6"/>
  <c r="F25" i="6"/>
  <c r="E26" i="6"/>
  <c r="E27" i="6"/>
  <c r="F30" i="6"/>
  <c r="E32" i="6"/>
  <c r="E34" i="6"/>
  <c r="E36" i="6"/>
  <c r="F37" i="6"/>
  <c r="F38" i="6"/>
  <c r="E39" i="6"/>
  <c r="E44" i="6"/>
  <c r="E46" i="6"/>
  <c r="E48" i="6"/>
  <c r="F49" i="6"/>
  <c r="F50" i="6"/>
  <c r="E51" i="6"/>
  <c r="F3" i="6"/>
  <c r="AN9" i="9" l="1"/>
  <c r="V9" i="9"/>
  <c r="AQ9" i="9" s="1"/>
  <c r="U9" i="9"/>
  <c r="AG66" i="6"/>
  <c r="AU66" i="6"/>
  <c r="AD66" i="6"/>
  <c r="G12" i="7"/>
  <c r="AK66" i="6"/>
  <c r="BD8" i="9"/>
  <c r="AJ66" i="6"/>
  <c r="AM10" i="9"/>
  <c r="T10" i="9"/>
  <c r="AR10" i="9"/>
  <c r="R11" i="9"/>
  <c r="X11" i="9" s="1"/>
  <c r="S10" i="9"/>
  <c r="AK9" i="9"/>
  <c r="BB9" i="9" s="1"/>
  <c r="BD7" i="9"/>
  <c r="AW3" i="6"/>
  <c r="F12" i="7"/>
  <c r="AZ3" i="6"/>
  <c r="BC3" i="6"/>
  <c r="BC66" i="6" s="1"/>
  <c r="BA3" i="6"/>
  <c r="S4" i="6"/>
  <c r="Y4" i="6" s="1"/>
  <c r="AS4" i="6" s="1"/>
  <c r="Y3" i="6"/>
  <c r="BB3" i="6"/>
  <c r="BB66" i="6" s="1"/>
  <c r="I49" i="6"/>
  <c r="H49" i="6"/>
  <c r="E61" i="6"/>
  <c r="E37" i="6"/>
  <c r="Q37" i="6" s="1"/>
  <c r="E25" i="6"/>
  <c r="Q25" i="6" s="1"/>
  <c r="E13" i="6"/>
  <c r="Q13" i="6" s="1"/>
  <c r="F60" i="6"/>
  <c r="F48" i="6"/>
  <c r="H48" i="6" s="1"/>
  <c r="F56" i="6"/>
  <c r="F36" i="6"/>
  <c r="H36" i="6" s="1"/>
  <c r="U3" i="6"/>
  <c r="F24" i="6"/>
  <c r="H24" i="6" s="1"/>
  <c r="F12" i="6"/>
  <c r="H12" i="6" s="1"/>
  <c r="E3" i="6"/>
  <c r="H3" i="6" s="1"/>
  <c r="E50" i="6"/>
  <c r="I50" i="6" s="1"/>
  <c r="E38" i="6"/>
  <c r="I38" i="6" s="1"/>
  <c r="F61" i="6"/>
  <c r="E60" i="6"/>
  <c r="F59" i="6"/>
  <c r="F47" i="6"/>
  <c r="F35" i="6"/>
  <c r="F23" i="6"/>
  <c r="F11" i="6"/>
  <c r="T3" i="6"/>
  <c r="E59" i="6"/>
  <c r="E47" i="6"/>
  <c r="E35" i="6"/>
  <c r="E23" i="6"/>
  <c r="E11" i="6"/>
  <c r="F58" i="6"/>
  <c r="F46" i="6"/>
  <c r="I46" i="6" s="1"/>
  <c r="F34" i="6"/>
  <c r="Q34" i="6" s="1"/>
  <c r="F22" i="6"/>
  <c r="F10" i="6"/>
  <c r="H10" i="6" s="1"/>
  <c r="E58" i="6"/>
  <c r="E22" i="6"/>
  <c r="F57" i="6"/>
  <c r="F45" i="6"/>
  <c r="F33" i="6"/>
  <c r="F21" i="6"/>
  <c r="F9" i="6"/>
  <c r="E57" i="6"/>
  <c r="E45" i="6"/>
  <c r="E33" i="6"/>
  <c r="E21" i="6"/>
  <c r="E9" i="6"/>
  <c r="F44" i="6"/>
  <c r="I44" i="6" s="1"/>
  <c r="F32" i="6"/>
  <c r="I32" i="6" s="1"/>
  <c r="F20" i="6"/>
  <c r="I20" i="6" s="1"/>
  <c r="F8" i="6"/>
  <c r="Q8" i="6" s="1"/>
  <c r="E56" i="6"/>
  <c r="F55" i="6"/>
  <c r="F43" i="6"/>
  <c r="F31" i="6"/>
  <c r="F19" i="6"/>
  <c r="F7" i="6"/>
  <c r="E55" i="6"/>
  <c r="E43" i="6"/>
  <c r="E31" i="6"/>
  <c r="E19" i="6"/>
  <c r="E7" i="6"/>
  <c r="F54" i="6"/>
  <c r="F42" i="6"/>
  <c r="F18" i="6"/>
  <c r="F6" i="6"/>
  <c r="E54" i="6"/>
  <c r="E42" i="6"/>
  <c r="E30" i="6"/>
  <c r="H30" i="6" s="1"/>
  <c r="E18" i="6"/>
  <c r="E6" i="6"/>
  <c r="F53" i="6"/>
  <c r="F41" i="6"/>
  <c r="F29" i="6"/>
  <c r="F17" i="6"/>
  <c r="F5" i="6"/>
  <c r="E53" i="6"/>
  <c r="E41" i="6"/>
  <c r="E29" i="6"/>
  <c r="E17" i="6"/>
  <c r="E5" i="6"/>
  <c r="F52" i="6"/>
  <c r="F40" i="6"/>
  <c r="F28" i="6"/>
  <c r="F16" i="6"/>
  <c r="F4" i="6"/>
  <c r="E52" i="6"/>
  <c r="E40" i="6"/>
  <c r="E28" i="6"/>
  <c r="E16" i="6"/>
  <c r="E4" i="6"/>
  <c r="F51" i="6"/>
  <c r="H51" i="6" s="1"/>
  <c r="F39" i="6"/>
  <c r="I39" i="6" s="1"/>
  <c r="F27" i="6"/>
  <c r="I27" i="6" s="1"/>
  <c r="F15" i="6"/>
  <c r="I15" i="6" s="1"/>
  <c r="F26" i="6"/>
  <c r="Q26" i="6" s="1"/>
  <c r="F14" i="6"/>
  <c r="Q14" i="6" s="1"/>
  <c r="AT59" i="6"/>
  <c r="AT56" i="6"/>
  <c r="AT58" i="6"/>
  <c r="AT57" i="6"/>
  <c r="AV50" i="6"/>
  <c r="AT55" i="6"/>
  <c r="AT54" i="6"/>
  <c r="AT53" i="6"/>
  <c r="AT61" i="6"/>
  <c r="AT60" i="6"/>
  <c r="AN3" i="6"/>
  <c r="Q49" i="6"/>
  <c r="AN10" i="9" l="1"/>
  <c r="V10" i="9"/>
  <c r="U10" i="9"/>
  <c r="AP10" i="9" s="1"/>
  <c r="AT66" i="6"/>
  <c r="F27" i="7"/>
  <c r="G27" i="7"/>
  <c r="G28" i="7"/>
  <c r="F28" i="7"/>
  <c r="AV66" i="6"/>
  <c r="G10" i="7" s="1"/>
  <c r="AZ66" i="6"/>
  <c r="F13" i="7" s="1"/>
  <c r="F8" i="7"/>
  <c r="G8" i="7"/>
  <c r="AK10" i="9"/>
  <c r="BB10" i="9" s="1"/>
  <c r="AP9" i="9"/>
  <c r="AM11" i="9"/>
  <c r="AR11" i="9"/>
  <c r="T11" i="9"/>
  <c r="AO11" i="9" s="1"/>
  <c r="R12" i="9"/>
  <c r="X12" i="9" s="1"/>
  <c r="S11" i="9"/>
  <c r="AQ10" i="9"/>
  <c r="AO10" i="9"/>
  <c r="F20" i="7"/>
  <c r="AN4" i="6"/>
  <c r="T4" i="6"/>
  <c r="S5" i="6"/>
  <c r="Y5" i="6" s="1"/>
  <c r="U4" i="6"/>
  <c r="AP4" i="6" s="1"/>
  <c r="F15" i="7"/>
  <c r="Q32" i="6"/>
  <c r="Q50" i="6"/>
  <c r="H50" i="6"/>
  <c r="I51" i="6"/>
  <c r="Q18" i="6"/>
  <c r="Q28" i="6"/>
  <c r="I22" i="6"/>
  <c r="H6" i="6"/>
  <c r="I43" i="6"/>
  <c r="Q48" i="6"/>
  <c r="H7" i="6"/>
  <c r="H19" i="6"/>
  <c r="I37" i="6"/>
  <c r="I3" i="6"/>
  <c r="Q3" i="6"/>
  <c r="H25" i="6"/>
  <c r="H32" i="6"/>
  <c r="Q16" i="6"/>
  <c r="H28" i="6"/>
  <c r="Q42" i="6"/>
  <c r="Q44" i="6"/>
  <c r="Q10" i="6"/>
  <c r="Q9" i="6"/>
  <c r="V3" i="6"/>
  <c r="Q11" i="6"/>
  <c r="Q36" i="6"/>
  <c r="I56" i="6"/>
  <c r="H27" i="6"/>
  <c r="Q24" i="6"/>
  <c r="H4" i="6"/>
  <c r="I29" i="6"/>
  <c r="Q45" i="6"/>
  <c r="H39" i="6"/>
  <c r="H40" i="6"/>
  <c r="H21" i="6"/>
  <c r="I23" i="6"/>
  <c r="Q38" i="6"/>
  <c r="Q52" i="6"/>
  <c r="Q54" i="6"/>
  <c r="I35" i="6"/>
  <c r="Q61" i="6"/>
  <c r="I28" i="6"/>
  <c r="H44" i="6"/>
  <c r="Q5" i="6"/>
  <c r="Q7" i="6"/>
  <c r="Q15" i="6"/>
  <c r="I41" i="6"/>
  <c r="I12" i="6"/>
  <c r="I31" i="6"/>
  <c r="H43" i="6"/>
  <c r="Q12" i="6"/>
  <c r="Q39" i="6"/>
  <c r="I26" i="6"/>
  <c r="H22" i="6"/>
  <c r="I18" i="6"/>
  <c r="Q30" i="6"/>
  <c r="H20" i="6"/>
  <c r="I30" i="6"/>
  <c r="I61" i="6"/>
  <c r="H5" i="6"/>
  <c r="H17" i="6"/>
  <c r="H42" i="6"/>
  <c r="Q33" i="6"/>
  <c r="H26" i="6"/>
  <c r="I21" i="6"/>
  <c r="H37" i="6"/>
  <c r="Q19" i="6"/>
  <c r="Q29" i="6"/>
  <c r="I54" i="6"/>
  <c r="I19" i="6"/>
  <c r="H38" i="6"/>
  <c r="H9" i="6"/>
  <c r="Q31" i="6"/>
  <c r="H16" i="6"/>
  <c r="Q41" i="6"/>
  <c r="I4" i="6"/>
  <c r="H55" i="6"/>
  <c r="Q20" i="6"/>
  <c r="H53" i="6"/>
  <c r="Q43" i="6"/>
  <c r="I11" i="6"/>
  <c r="H15" i="6"/>
  <c r="I53" i="6"/>
  <c r="I16" i="6"/>
  <c r="H29" i="6"/>
  <c r="H34" i="6"/>
  <c r="H54" i="6"/>
  <c r="H56" i="6"/>
  <c r="I13" i="6"/>
  <c r="H33" i="6"/>
  <c r="I5" i="6"/>
  <c r="I42" i="6"/>
  <c r="H46" i="6"/>
  <c r="Q23" i="6"/>
  <c r="Q27" i="6"/>
  <c r="H13" i="6"/>
  <c r="I25" i="6"/>
  <c r="H8" i="6"/>
  <c r="H45" i="6"/>
  <c r="I17" i="6"/>
  <c r="H41" i="6"/>
  <c r="H31" i="6"/>
  <c r="I8" i="6"/>
  <c r="I24" i="6"/>
  <c r="H18" i="6"/>
  <c r="Q40" i="6"/>
  <c r="I10" i="6"/>
  <c r="I36" i="6"/>
  <c r="I55" i="6"/>
  <c r="I40" i="6"/>
  <c r="H11" i="6"/>
  <c r="I9" i="6"/>
  <c r="I52" i="6"/>
  <c r="Q47" i="6"/>
  <c r="I47" i="6"/>
  <c r="I34" i="6"/>
  <c r="I48" i="6"/>
  <c r="W3" i="6"/>
  <c r="H23" i="6"/>
  <c r="Q6" i="6"/>
  <c r="AP3" i="6"/>
  <c r="I14" i="6"/>
  <c r="H61" i="6"/>
  <c r="H35" i="6"/>
  <c r="I7" i="6"/>
  <c r="I33" i="6"/>
  <c r="H47" i="6"/>
  <c r="I45" i="6"/>
  <c r="Q21" i="6"/>
  <c r="Q35" i="6"/>
  <c r="H14" i="6"/>
  <c r="H52" i="6"/>
  <c r="I6" i="6"/>
  <c r="I60" i="6"/>
  <c r="H60" i="6"/>
  <c r="I59" i="6"/>
  <c r="H59" i="6"/>
  <c r="Q59" i="6"/>
  <c r="I58" i="6"/>
  <c r="H58" i="6"/>
  <c r="I57" i="6"/>
  <c r="H57" i="6"/>
  <c r="Q57" i="6"/>
  <c r="Q58" i="6"/>
  <c r="Q60" i="6"/>
  <c r="Q46" i="6"/>
  <c r="Q17" i="6"/>
  <c r="Q22" i="6"/>
  <c r="Q55" i="6"/>
  <c r="Q51" i="6"/>
  <c r="Q53" i="6"/>
  <c r="Q4" i="6"/>
  <c r="AL3" i="6"/>
  <c r="Q56" i="6"/>
  <c r="AO3" i="6"/>
  <c r="AS3" i="6"/>
  <c r="AN11" i="9" l="1"/>
  <c r="V11" i="9"/>
  <c r="AQ11" i="9" s="1"/>
  <c r="U11" i="9"/>
  <c r="AP11" i="9" s="1"/>
  <c r="F10" i="7"/>
  <c r="F11" i="7"/>
  <c r="G11" i="7"/>
  <c r="F9" i="7"/>
  <c r="G9" i="7"/>
  <c r="BD10" i="9"/>
  <c r="AM12" i="9"/>
  <c r="R13" i="9"/>
  <c r="X13" i="9" s="1"/>
  <c r="T12" i="9"/>
  <c r="AO12" i="9" s="1"/>
  <c r="S12" i="9"/>
  <c r="AR12" i="9"/>
  <c r="AK11" i="9"/>
  <c r="BB11" i="9" s="1"/>
  <c r="BD9" i="9"/>
  <c r="T5" i="6"/>
  <c r="AO5" i="6" s="1"/>
  <c r="W4" i="6"/>
  <c r="AR4" i="6" s="1"/>
  <c r="AO4" i="6"/>
  <c r="AL4" i="6"/>
  <c r="BD4" i="6" s="1"/>
  <c r="U5" i="6"/>
  <c r="AP5" i="6" s="1"/>
  <c r="AN5" i="6"/>
  <c r="V4" i="6"/>
  <c r="AQ4" i="6" s="1"/>
  <c r="S6" i="6"/>
  <c r="Y6" i="6" s="1"/>
  <c r="AQ3" i="6"/>
  <c r="AR3" i="6"/>
  <c r="BD3" i="6"/>
  <c r="AS5" i="6"/>
  <c r="AN12" i="9" l="1"/>
  <c r="V12" i="9"/>
  <c r="AQ12" i="9" s="1"/>
  <c r="U12" i="9"/>
  <c r="AP12" i="9" s="1"/>
  <c r="AK12" i="9"/>
  <c r="BB12" i="9" s="1"/>
  <c r="BD11" i="9"/>
  <c r="AM13" i="9"/>
  <c r="S13" i="9"/>
  <c r="AR13" i="9"/>
  <c r="T13" i="9"/>
  <c r="AO13" i="9" s="1"/>
  <c r="R14" i="9"/>
  <c r="X14" i="9" s="1"/>
  <c r="W5" i="6"/>
  <c r="V5" i="6"/>
  <c r="AL5" i="6"/>
  <c r="BD5" i="6" s="1"/>
  <c r="U6" i="6"/>
  <c r="T6" i="6"/>
  <c r="S7" i="6"/>
  <c r="T7" i="6" s="1"/>
  <c r="AN6" i="6"/>
  <c r="BF3" i="6"/>
  <c r="BF4" i="6"/>
  <c r="BG4" i="6" s="1"/>
  <c r="AS6" i="6"/>
  <c r="AN13" i="9" l="1"/>
  <c r="U13" i="9"/>
  <c r="AP13" i="9" s="1"/>
  <c r="V13" i="9"/>
  <c r="AQ13" i="9" s="1"/>
  <c r="AK13" i="9"/>
  <c r="BB13" i="9" s="1"/>
  <c r="BD12" i="9"/>
  <c r="AM14" i="9"/>
  <c r="AR14" i="9"/>
  <c r="R15" i="9"/>
  <c r="X15" i="9" s="1"/>
  <c r="T14" i="9"/>
  <c r="AO14" i="9" s="1"/>
  <c r="S14" i="9"/>
  <c r="U7" i="6"/>
  <c r="AP7" i="6" s="1"/>
  <c r="AQ5" i="6"/>
  <c r="AO6" i="6"/>
  <c r="AR5" i="6"/>
  <c r="S8" i="6"/>
  <c r="Y8" i="6" s="1"/>
  <c r="AN7" i="6"/>
  <c r="Y7" i="6"/>
  <c r="AS7" i="6" s="1"/>
  <c r="AL6" i="6"/>
  <c r="BD6" i="6" s="1"/>
  <c r="AP6" i="6"/>
  <c r="V6" i="6"/>
  <c r="AQ6" i="6" s="1"/>
  <c r="W6" i="6"/>
  <c r="AR6" i="6" s="1"/>
  <c r="BG3" i="6"/>
  <c r="BA7" i="6"/>
  <c r="AO7" i="6"/>
  <c r="AN14" i="9" l="1"/>
  <c r="U14" i="9"/>
  <c r="AP14" i="9" s="1"/>
  <c r="V14" i="9"/>
  <c r="AQ14" i="9" s="1"/>
  <c r="BD13" i="9"/>
  <c r="AM15" i="9"/>
  <c r="R16" i="9"/>
  <c r="X16" i="9" s="1"/>
  <c r="T15" i="9"/>
  <c r="AO15" i="9" s="1"/>
  <c r="AR15" i="9"/>
  <c r="S15" i="9"/>
  <c r="AK14" i="9"/>
  <c r="BB14" i="9" s="1"/>
  <c r="BF5" i="6"/>
  <c r="U8" i="6"/>
  <c r="AP8" i="6" s="1"/>
  <c r="AL7" i="6"/>
  <c r="BD7" i="6" s="1"/>
  <c r="T8" i="6"/>
  <c r="W7" i="6"/>
  <c r="AR7" i="6" s="1"/>
  <c r="S9" i="6"/>
  <c r="Y9" i="6" s="1"/>
  <c r="V7" i="6"/>
  <c r="AN8" i="6"/>
  <c r="BF6" i="6"/>
  <c r="AS8" i="6"/>
  <c r="AN15" i="9" l="1"/>
  <c r="V15" i="9"/>
  <c r="AQ15" i="9" s="1"/>
  <c r="U15" i="9"/>
  <c r="AP15" i="9" s="1"/>
  <c r="BD14" i="9"/>
  <c r="AY15" i="9"/>
  <c r="AK15" i="9"/>
  <c r="BB15" i="9" s="1"/>
  <c r="AM16" i="9"/>
  <c r="S16" i="9"/>
  <c r="AR16" i="9"/>
  <c r="R17" i="9"/>
  <c r="X17" i="9" s="1"/>
  <c r="T16" i="9"/>
  <c r="AO16" i="9" s="1"/>
  <c r="AO8" i="6"/>
  <c r="BG5" i="6"/>
  <c r="AL8" i="6"/>
  <c r="BD8" i="6" s="1"/>
  <c r="U9" i="6"/>
  <c r="AP9" i="6" s="1"/>
  <c r="T9" i="6"/>
  <c r="AO9" i="6" s="1"/>
  <c r="AQ7" i="6"/>
  <c r="S10" i="6"/>
  <c r="Y10" i="6" s="1"/>
  <c r="AN9" i="6"/>
  <c r="V8" i="6"/>
  <c r="AQ8" i="6" s="1"/>
  <c r="W8" i="6"/>
  <c r="AR8" i="6" s="1"/>
  <c r="BG6" i="6"/>
  <c r="AS9" i="6"/>
  <c r="AN16" i="9" l="1"/>
  <c r="V16" i="9"/>
  <c r="AQ16" i="9" s="1"/>
  <c r="U16" i="9"/>
  <c r="AP16" i="9" s="1"/>
  <c r="BD15" i="9"/>
  <c r="AK16" i="9"/>
  <c r="BB16" i="9" s="1"/>
  <c r="AM17" i="9"/>
  <c r="AR17" i="9"/>
  <c r="S17" i="9"/>
  <c r="R18" i="9"/>
  <c r="X18" i="9" s="1"/>
  <c r="T17" i="9"/>
  <c r="AO17" i="9" s="1"/>
  <c r="AL9" i="6"/>
  <c r="BD9" i="6" s="1"/>
  <c r="S11" i="6"/>
  <c r="Y11" i="6" s="1"/>
  <c r="U10" i="6"/>
  <c r="AP10" i="6" s="1"/>
  <c r="T10" i="6"/>
  <c r="AO10" i="6" s="1"/>
  <c r="AN10" i="6"/>
  <c r="BF7" i="6"/>
  <c r="V9" i="6"/>
  <c r="AQ9" i="6" s="1"/>
  <c r="W9" i="6"/>
  <c r="AR9" i="6" s="1"/>
  <c r="BF8" i="6"/>
  <c r="BG8" i="6" s="1"/>
  <c r="AS10" i="6"/>
  <c r="AN17" i="9" l="1"/>
  <c r="V17" i="9"/>
  <c r="U17" i="9"/>
  <c r="AP17" i="9" s="1"/>
  <c r="BD16" i="9"/>
  <c r="AQ17" i="9"/>
  <c r="AK17" i="9"/>
  <c r="BB17" i="9" s="1"/>
  <c r="AM18" i="9"/>
  <c r="AR18" i="9"/>
  <c r="R19" i="9"/>
  <c r="X19" i="9" s="1"/>
  <c r="T18" i="9"/>
  <c r="AO18" i="9" s="1"/>
  <c r="S18" i="9"/>
  <c r="AN11" i="6"/>
  <c r="S12" i="6"/>
  <c r="Y12" i="6" s="1"/>
  <c r="T11" i="6"/>
  <c r="AO11" i="6" s="1"/>
  <c r="U11" i="6"/>
  <c r="AP11" i="6" s="1"/>
  <c r="V10" i="6"/>
  <c r="AQ10" i="6" s="1"/>
  <c r="W10" i="6"/>
  <c r="AR10" i="6" s="1"/>
  <c r="BF9" i="6"/>
  <c r="BG9" i="6" s="1"/>
  <c r="AL10" i="6"/>
  <c r="BD10" i="6" s="1"/>
  <c r="BG7" i="6"/>
  <c r="AS11" i="6"/>
  <c r="AN18" i="9" l="1"/>
  <c r="V18" i="9"/>
  <c r="AQ18" i="9" s="1"/>
  <c r="U18" i="9"/>
  <c r="AP18" i="9" s="1"/>
  <c r="BD17" i="9"/>
  <c r="AK18" i="9"/>
  <c r="BB18" i="9" s="1"/>
  <c r="R20" i="9"/>
  <c r="X20" i="9" s="1"/>
  <c r="S19" i="9"/>
  <c r="AR19" i="9"/>
  <c r="AM19" i="9"/>
  <c r="T19" i="9"/>
  <c r="AO19" i="9" s="1"/>
  <c r="T12" i="6"/>
  <c r="AO12" i="6" s="1"/>
  <c r="U12" i="6"/>
  <c r="AP12" i="6" s="1"/>
  <c r="S13" i="6"/>
  <c r="AN13" i="6" s="1"/>
  <c r="BF10" i="6"/>
  <c r="BG10" i="6" s="1"/>
  <c r="AN12" i="6"/>
  <c r="AL11" i="6"/>
  <c r="BD11" i="6" s="1"/>
  <c r="V11" i="6"/>
  <c r="AQ11" i="6" s="1"/>
  <c r="W11" i="6"/>
  <c r="AR11" i="6" s="1"/>
  <c r="AS12" i="6"/>
  <c r="AN19" i="9" l="1"/>
  <c r="V19" i="9"/>
  <c r="AQ19" i="9" s="1"/>
  <c r="U19" i="9"/>
  <c r="AP19" i="9" s="1"/>
  <c r="W12" i="6"/>
  <c r="AR12" i="6" s="1"/>
  <c r="AL12" i="6"/>
  <c r="BD12" i="6" s="1"/>
  <c r="BD18" i="9"/>
  <c r="AK19" i="9"/>
  <c r="BB19" i="9" s="1"/>
  <c r="T20" i="9"/>
  <c r="AO20" i="9" s="1"/>
  <c r="AR20" i="9"/>
  <c r="R21" i="9"/>
  <c r="X21" i="9" s="1"/>
  <c r="S20" i="9"/>
  <c r="AM20" i="9"/>
  <c r="T13" i="6"/>
  <c r="AO13" i="6" s="1"/>
  <c r="V12" i="6"/>
  <c r="AQ12" i="6" s="1"/>
  <c r="U13" i="6"/>
  <c r="AP13" i="6" s="1"/>
  <c r="Y13" i="6"/>
  <c r="AS13" i="6" s="1"/>
  <c r="S14" i="6"/>
  <c r="AN14" i="6" s="1"/>
  <c r="BF11" i="6"/>
  <c r="BG11" i="6" s="1"/>
  <c r="AN20" i="9" l="1"/>
  <c r="U20" i="9"/>
  <c r="AP20" i="9" s="1"/>
  <c r="V20" i="9"/>
  <c r="AQ20" i="9" s="1"/>
  <c r="BF12" i="6"/>
  <c r="BG12" i="6" s="1"/>
  <c r="BD19" i="9"/>
  <c r="S21" i="9"/>
  <c r="AR21" i="9"/>
  <c r="AM21" i="9"/>
  <c r="T21" i="9"/>
  <c r="AO21" i="9" s="1"/>
  <c r="R22" i="9"/>
  <c r="X22" i="9" s="1"/>
  <c r="AK20" i="9"/>
  <c r="BB20" i="9" s="1"/>
  <c r="AL13" i="6"/>
  <c r="BD13" i="6" s="1"/>
  <c r="U14" i="6"/>
  <c r="AP14" i="6" s="1"/>
  <c r="T14" i="6"/>
  <c r="AO14" i="6" s="1"/>
  <c r="W13" i="6"/>
  <c r="AR13" i="6" s="1"/>
  <c r="S15" i="6"/>
  <c r="Y14" i="6"/>
  <c r="V13" i="6"/>
  <c r="AQ13" i="6" s="1"/>
  <c r="AN21" i="9" l="1"/>
  <c r="U21" i="9"/>
  <c r="AP21" i="9" s="1"/>
  <c r="V21" i="9"/>
  <c r="AQ21" i="9" s="1"/>
  <c r="AK21" i="9"/>
  <c r="BB21" i="9" s="1"/>
  <c r="BD20" i="9"/>
  <c r="R23" i="9"/>
  <c r="X23" i="9" s="1"/>
  <c r="S22" i="9"/>
  <c r="T22" i="9"/>
  <c r="AO22" i="9" s="1"/>
  <c r="AM22" i="9"/>
  <c r="AR22" i="9"/>
  <c r="Y15" i="6"/>
  <c r="AS15" i="6" s="1"/>
  <c r="AN15" i="6"/>
  <c r="BF13" i="6"/>
  <c r="BG13" i="6" s="1"/>
  <c r="W14" i="6"/>
  <c r="AR14" i="6" s="1"/>
  <c r="AS14" i="6"/>
  <c r="AL14" i="6"/>
  <c r="BD14" i="6" s="1"/>
  <c r="V14" i="6"/>
  <c r="AQ14" i="6" s="1"/>
  <c r="U15" i="6"/>
  <c r="AP15" i="6" s="1"/>
  <c r="T15" i="6"/>
  <c r="AO15" i="6" s="1"/>
  <c r="S16" i="6"/>
  <c r="S17" i="6" s="1"/>
  <c r="AN22" i="9" l="1"/>
  <c r="V22" i="9"/>
  <c r="AQ22" i="9" s="1"/>
  <c r="U22" i="9"/>
  <c r="AP22" i="9" s="1"/>
  <c r="BA15" i="6"/>
  <c r="BD21" i="9"/>
  <c r="R24" i="9"/>
  <c r="X24" i="9" s="1"/>
  <c r="S23" i="9"/>
  <c r="T23" i="9"/>
  <c r="AO23" i="9" s="1"/>
  <c r="AM23" i="9"/>
  <c r="AR23" i="9"/>
  <c r="AK22" i="9"/>
  <c r="BB22" i="9" s="1"/>
  <c r="BF14" i="6"/>
  <c r="BG14" i="6" s="1"/>
  <c r="AN16" i="6"/>
  <c r="U16" i="6"/>
  <c r="AP16" i="6" s="1"/>
  <c r="W15" i="6"/>
  <c r="AR15" i="6" s="1"/>
  <c r="V15" i="6"/>
  <c r="AQ15" i="6" s="1"/>
  <c r="AL15" i="6"/>
  <c r="BD15" i="6" s="1"/>
  <c r="T16" i="6"/>
  <c r="AO16" i="6" s="1"/>
  <c r="Y16" i="6"/>
  <c r="S18" i="6"/>
  <c r="Y17" i="6"/>
  <c r="T17" i="6"/>
  <c r="AO17" i="6" s="1"/>
  <c r="U17" i="6"/>
  <c r="AP17" i="6" s="1"/>
  <c r="AN17" i="6"/>
  <c r="AN23" i="9" l="1"/>
  <c r="V23" i="9"/>
  <c r="AQ23" i="9" s="1"/>
  <c r="U23" i="9"/>
  <c r="AP23" i="9" s="1"/>
  <c r="BD22" i="9"/>
  <c r="AK23" i="9"/>
  <c r="BB23" i="9" s="1"/>
  <c r="AR24" i="9"/>
  <c r="R25" i="9"/>
  <c r="S24" i="9"/>
  <c r="T24" i="9"/>
  <c r="AO24" i="9" s="1"/>
  <c r="AM24" i="9"/>
  <c r="AL16" i="6"/>
  <c r="BD16" i="6" s="1"/>
  <c r="BF15" i="6"/>
  <c r="BG15" i="6" s="1"/>
  <c r="V16" i="6"/>
  <c r="AQ16" i="6" s="1"/>
  <c r="W16" i="6"/>
  <c r="AR16" i="6" s="1"/>
  <c r="AS16" i="6"/>
  <c r="S19" i="6"/>
  <c r="Y18" i="6"/>
  <c r="V17" i="6"/>
  <c r="AQ17" i="6" s="1"/>
  <c r="W17" i="6"/>
  <c r="AR17" i="6" s="1"/>
  <c r="T18" i="6"/>
  <c r="AO18" i="6" s="1"/>
  <c r="U18" i="6"/>
  <c r="AP18" i="6" s="1"/>
  <c r="AL17" i="6"/>
  <c r="BD17" i="6" s="1"/>
  <c r="AS17" i="6"/>
  <c r="AN18" i="6"/>
  <c r="X25" i="9" l="1"/>
  <c r="AR25" i="9" s="1"/>
  <c r="Z25" i="9"/>
  <c r="AN24" i="9"/>
  <c r="V24" i="9"/>
  <c r="AQ24" i="9" s="1"/>
  <c r="U24" i="9"/>
  <c r="AP24" i="9" s="1"/>
  <c r="BD23" i="9"/>
  <c r="AM25" i="9"/>
  <c r="T25" i="9"/>
  <c r="AO25" i="9" s="1"/>
  <c r="S25" i="9"/>
  <c r="R26" i="9"/>
  <c r="X26" i="9" s="1"/>
  <c r="AK24" i="9"/>
  <c r="BB24" i="9" s="1"/>
  <c r="BF16" i="6"/>
  <c r="BG16" i="6" s="1"/>
  <c r="S20" i="6"/>
  <c r="Y19" i="6"/>
  <c r="W18" i="6"/>
  <c r="AR18" i="6" s="1"/>
  <c r="V18" i="6"/>
  <c r="AQ18" i="6" s="1"/>
  <c r="T19" i="6"/>
  <c r="AO19" i="6" s="1"/>
  <c r="U19" i="6"/>
  <c r="AP19" i="6" s="1"/>
  <c r="BF17" i="6"/>
  <c r="BG17" i="6" s="1"/>
  <c r="AL18" i="6"/>
  <c r="BD18" i="6" s="1"/>
  <c r="AS18" i="6"/>
  <c r="AN19" i="6"/>
  <c r="AN25" i="9" l="1"/>
  <c r="U25" i="9"/>
  <c r="AP25" i="9" s="1"/>
  <c r="V25" i="9"/>
  <c r="AQ25" i="9" s="1"/>
  <c r="AY25" i="9"/>
  <c r="Z66" i="9"/>
  <c r="BD24" i="9"/>
  <c r="R27" i="9"/>
  <c r="X27" i="9" s="1"/>
  <c r="T26" i="9"/>
  <c r="AO26" i="9" s="1"/>
  <c r="AM26" i="9"/>
  <c r="S26" i="9"/>
  <c r="AR26" i="9"/>
  <c r="AK25" i="9"/>
  <c r="BB25" i="9" s="1"/>
  <c r="S21" i="6"/>
  <c r="Y20" i="6"/>
  <c r="V19" i="6"/>
  <c r="AQ19" i="6" s="1"/>
  <c r="W19" i="6"/>
  <c r="AR19" i="6" s="1"/>
  <c r="T20" i="6"/>
  <c r="AO20" i="6" s="1"/>
  <c r="U20" i="6"/>
  <c r="AP20" i="6" s="1"/>
  <c r="BF18" i="6"/>
  <c r="BG18" i="6" s="1"/>
  <c r="AL19" i="6"/>
  <c r="BD19" i="6" s="1"/>
  <c r="AS19" i="6"/>
  <c r="AN20" i="6"/>
  <c r="AN26" i="9" l="1"/>
  <c r="U26" i="9"/>
  <c r="AP26" i="9" s="1"/>
  <c r="V26" i="9"/>
  <c r="AQ26" i="9" s="1"/>
  <c r="AY66" i="9"/>
  <c r="G14" i="7" s="1"/>
  <c r="BD25" i="9"/>
  <c r="AM27" i="9"/>
  <c r="T27" i="9"/>
  <c r="AO27" i="9" s="1"/>
  <c r="AR27" i="9"/>
  <c r="S27" i="9"/>
  <c r="R28" i="9"/>
  <c r="X28" i="9" s="1"/>
  <c r="AK26" i="9"/>
  <c r="BB26" i="9" s="1"/>
  <c r="S22" i="6"/>
  <c r="Y21" i="6"/>
  <c r="W20" i="6"/>
  <c r="AR20" i="6" s="1"/>
  <c r="V20" i="6"/>
  <c r="AQ20" i="6" s="1"/>
  <c r="T21" i="6"/>
  <c r="AO21" i="6" s="1"/>
  <c r="U21" i="6"/>
  <c r="AP21" i="6" s="1"/>
  <c r="BF19" i="6"/>
  <c r="BG19" i="6" s="1"/>
  <c r="AL20" i="6"/>
  <c r="BD20" i="6" s="1"/>
  <c r="AS20" i="6"/>
  <c r="AN21" i="6"/>
  <c r="AN27" i="9" l="1"/>
  <c r="U27" i="9"/>
  <c r="AP27" i="9" s="1"/>
  <c r="V27" i="9"/>
  <c r="AQ27" i="9" s="1"/>
  <c r="BD26" i="9"/>
  <c r="AK27" i="9"/>
  <c r="BB27" i="9" s="1"/>
  <c r="R29" i="9"/>
  <c r="X29" i="9" s="1"/>
  <c r="S28" i="9"/>
  <c r="AR28" i="9"/>
  <c r="T28" i="9"/>
  <c r="AO28" i="9" s="1"/>
  <c r="AM28" i="9"/>
  <c r="S23" i="6"/>
  <c r="Y22" i="6"/>
  <c r="AS22" i="6" s="1"/>
  <c r="W21" i="6"/>
  <c r="AR21" i="6" s="1"/>
  <c r="V21" i="6"/>
  <c r="AQ21" i="6" s="1"/>
  <c r="T22" i="6"/>
  <c r="AO22" i="6" s="1"/>
  <c r="U22" i="6"/>
  <c r="AP22" i="6" s="1"/>
  <c r="BF20" i="6"/>
  <c r="BG20" i="6" s="1"/>
  <c r="AL21" i="6"/>
  <c r="BD21" i="6" s="1"/>
  <c r="AS21" i="6"/>
  <c r="AN22" i="6"/>
  <c r="AN28" i="9" l="1"/>
  <c r="V28" i="9"/>
  <c r="U28" i="9"/>
  <c r="AP28" i="9" s="1"/>
  <c r="BD27" i="9"/>
  <c r="AK28" i="9"/>
  <c r="BB28" i="9" s="1"/>
  <c r="AR29" i="9"/>
  <c r="AM29" i="9"/>
  <c r="T29" i="9"/>
  <c r="AO29" i="9" s="1"/>
  <c r="R30" i="9"/>
  <c r="X30" i="9" s="1"/>
  <c r="S29" i="9"/>
  <c r="AQ28" i="9"/>
  <c r="S24" i="6"/>
  <c r="Y23" i="6"/>
  <c r="AS23" i="6" s="1"/>
  <c r="V22" i="6"/>
  <c r="AQ22" i="6" s="1"/>
  <c r="W22" i="6"/>
  <c r="AR22" i="6" s="1"/>
  <c r="T23" i="6"/>
  <c r="AO23" i="6" s="1"/>
  <c r="U23" i="6"/>
  <c r="AP23" i="6" s="1"/>
  <c r="BF21" i="6"/>
  <c r="BG21" i="6" s="1"/>
  <c r="AN23" i="6"/>
  <c r="AL22" i="6"/>
  <c r="AN29" i="9" l="1"/>
  <c r="V29" i="9"/>
  <c r="AQ29" i="9" s="1"/>
  <c r="U29" i="9"/>
  <c r="AP29" i="9" s="1"/>
  <c r="BD28" i="9"/>
  <c r="AR30" i="9"/>
  <c r="T30" i="9"/>
  <c r="AO30" i="9" s="1"/>
  <c r="S30" i="9"/>
  <c r="R31" i="9"/>
  <c r="X31" i="9" s="1"/>
  <c r="AM30" i="9"/>
  <c r="AK29" i="9"/>
  <c r="BB29" i="9" s="1"/>
  <c r="S25" i="6"/>
  <c r="AA25" i="6" s="1"/>
  <c r="Y24" i="6"/>
  <c r="V23" i="6"/>
  <c r="AQ23" i="6" s="1"/>
  <c r="W23" i="6"/>
  <c r="AR23" i="6" s="1"/>
  <c r="T24" i="6"/>
  <c r="AO24" i="6" s="1"/>
  <c r="U24" i="6"/>
  <c r="AP24" i="6" s="1"/>
  <c r="BD22" i="6"/>
  <c r="BF22" i="6" s="1"/>
  <c r="BG22" i="6" s="1"/>
  <c r="AN24" i="6"/>
  <c r="AL23" i="6"/>
  <c r="AN30" i="9" l="1"/>
  <c r="V30" i="9"/>
  <c r="AQ30" i="9" s="1"/>
  <c r="U30" i="9"/>
  <c r="AP30" i="9" s="1"/>
  <c r="BD29" i="9"/>
  <c r="AK30" i="9"/>
  <c r="BB30" i="9" s="1"/>
  <c r="AM31" i="9"/>
  <c r="R32" i="9"/>
  <c r="X32" i="9" s="1"/>
  <c r="T31" i="9"/>
  <c r="AO31" i="9" s="1"/>
  <c r="AR31" i="9"/>
  <c r="S31" i="9"/>
  <c r="S26" i="6"/>
  <c r="Y25" i="6"/>
  <c r="V24" i="6"/>
  <c r="AQ24" i="6" s="1"/>
  <c r="W24" i="6"/>
  <c r="AR24" i="6" s="1"/>
  <c r="T25" i="6"/>
  <c r="AO25" i="6" s="1"/>
  <c r="U25" i="6"/>
  <c r="AP25" i="6" s="1"/>
  <c r="BD23" i="6"/>
  <c r="BF23" i="6" s="1"/>
  <c r="BG23" i="6" s="1"/>
  <c r="AL24" i="6"/>
  <c r="BD24" i="6" s="1"/>
  <c r="AS24" i="6"/>
  <c r="AN25" i="6"/>
  <c r="AN31" i="9" l="1"/>
  <c r="V31" i="9"/>
  <c r="AQ31" i="9" s="1"/>
  <c r="U31" i="9"/>
  <c r="AP31" i="9" s="1"/>
  <c r="BD30" i="9"/>
  <c r="AK31" i="9"/>
  <c r="BB31" i="9" s="1"/>
  <c r="AM32" i="9"/>
  <c r="S32" i="9"/>
  <c r="AR32" i="9"/>
  <c r="R33" i="9"/>
  <c r="X33" i="9" s="1"/>
  <c r="T32" i="9"/>
  <c r="AO32" i="9" s="1"/>
  <c r="Y26" i="6"/>
  <c r="S27" i="6"/>
  <c r="BA27" i="6" s="1"/>
  <c r="V25" i="6"/>
  <c r="AQ25" i="6" s="1"/>
  <c r="W25" i="6"/>
  <c r="AR25" i="6" s="1"/>
  <c r="T26" i="6"/>
  <c r="AO26" i="6" s="1"/>
  <c r="U26" i="6"/>
  <c r="AP26" i="6" s="1"/>
  <c r="BA25" i="6"/>
  <c r="BF24" i="6"/>
  <c r="BG24" i="6" s="1"/>
  <c r="AL25" i="6"/>
  <c r="BD25" i="6" s="1"/>
  <c r="AS25" i="6"/>
  <c r="AN26" i="6"/>
  <c r="AN32" i="9" l="1"/>
  <c r="U32" i="9"/>
  <c r="AP32" i="9" s="1"/>
  <c r="V32" i="9"/>
  <c r="AQ32" i="9" s="1"/>
  <c r="BD31" i="9"/>
  <c r="AM33" i="9"/>
  <c r="AR33" i="9"/>
  <c r="S33" i="9"/>
  <c r="T33" i="9"/>
  <c r="AO33" i="9" s="1"/>
  <c r="R34" i="9"/>
  <c r="X34" i="9" s="1"/>
  <c r="AK32" i="9"/>
  <c r="BB32" i="9" s="1"/>
  <c r="S28" i="6"/>
  <c r="Y27" i="6"/>
  <c r="AS27" i="6" s="1"/>
  <c r="V26" i="6"/>
  <c r="AQ26" i="6" s="1"/>
  <c r="W26" i="6"/>
  <c r="AR26" i="6" s="1"/>
  <c r="T27" i="6"/>
  <c r="AO27" i="6" s="1"/>
  <c r="U27" i="6"/>
  <c r="AP27" i="6" s="1"/>
  <c r="BF25" i="6"/>
  <c r="BG25" i="6" s="1"/>
  <c r="AL26" i="6"/>
  <c r="BD26" i="6" s="1"/>
  <c r="AS26" i="6"/>
  <c r="AN27" i="6"/>
  <c r="AN33" i="9" l="1"/>
  <c r="V33" i="9"/>
  <c r="AQ33" i="9" s="1"/>
  <c r="U33" i="9"/>
  <c r="AP33" i="9" s="1"/>
  <c r="BD32" i="9"/>
  <c r="AK33" i="9"/>
  <c r="BB33" i="9" s="1"/>
  <c r="AM34" i="9"/>
  <c r="R35" i="9"/>
  <c r="X35" i="9" s="1"/>
  <c r="T34" i="9"/>
  <c r="AO34" i="9" s="1"/>
  <c r="S34" i="9"/>
  <c r="AR34" i="9"/>
  <c r="S29" i="6"/>
  <c r="Y28" i="6"/>
  <c r="AS28" i="6" s="1"/>
  <c r="W27" i="6"/>
  <c r="AR27" i="6" s="1"/>
  <c r="V27" i="6"/>
  <c r="AQ27" i="6" s="1"/>
  <c r="U28" i="6"/>
  <c r="AP28" i="6" s="1"/>
  <c r="T28" i="6"/>
  <c r="AO28" i="6" s="1"/>
  <c r="BF26" i="6"/>
  <c r="BG26" i="6" s="1"/>
  <c r="AN28" i="6"/>
  <c r="AL27" i="6"/>
  <c r="AN34" i="9" l="1"/>
  <c r="V34" i="9"/>
  <c r="AQ34" i="9" s="1"/>
  <c r="U34" i="9"/>
  <c r="AP34" i="9" s="1"/>
  <c r="BD33" i="9"/>
  <c r="AK34" i="9"/>
  <c r="BB34" i="9" s="1"/>
  <c r="AM35" i="9"/>
  <c r="S35" i="9"/>
  <c r="AR35" i="9"/>
  <c r="R36" i="9"/>
  <c r="X36" i="9" s="1"/>
  <c r="T35" i="9"/>
  <c r="AO35" i="9" s="1"/>
  <c r="S30" i="6"/>
  <c r="Y29" i="6"/>
  <c r="AS29" i="6" s="1"/>
  <c r="W28" i="6"/>
  <c r="AR28" i="6" s="1"/>
  <c r="V28" i="6"/>
  <c r="AQ28" i="6" s="1"/>
  <c r="T29" i="6"/>
  <c r="AO29" i="6" s="1"/>
  <c r="U29" i="6"/>
  <c r="AP29" i="6" s="1"/>
  <c r="BD27" i="6"/>
  <c r="BF27" i="6" s="1"/>
  <c r="BG27" i="6" s="1"/>
  <c r="AN29" i="6"/>
  <c r="AL28" i="6"/>
  <c r="AN35" i="9" l="1"/>
  <c r="V35" i="9"/>
  <c r="AQ35" i="9" s="1"/>
  <c r="U35" i="9"/>
  <c r="AP35" i="9" s="1"/>
  <c r="BD34" i="9"/>
  <c r="AM36" i="9"/>
  <c r="AR36" i="9"/>
  <c r="R37" i="9"/>
  <c r="X37" i="9" s="1"/>
  <c r="T36" i="9"/>
  <c r="AO36" i="9" s="1"/>
  <c r="S36" i="9"/>
  <c r="AK35" i="9"/>
  <c r="BB35" i="9" s="1"/>
  <c r="S31" i="6"/>
  <c r="Y30" i="6"/>
  <c r="AS30" i="6" s="1"/>
  <c r="V29" i="6"/>
  <c r="AQ29" i="6" s="1"/>
  <c r="W29" i="6"/>
  <c r="AR29" i="6" s="1"/>
  <c r="T30" i="6"/>
  <c r="AO30" i="6" s="1"/>
  <c r="U30" i="6"/>
  <c r="AP30" i="6" s="1"/>
  <c r="BD28" i="6"/>
  <c r="BF28" i="6" s="1"/>
  <c r="BG28" i="6" s="1"/>
  <c r="AN30" i="6"/>
  <c r="AL29" i="6"/>
  <c r="AN36" i="9" l="1"/>
  <c r="V36" i="9"/>
  <c r="AQ36" i="9" s="1"/>
  <c r="U36" i="9"/>
  <c r="AP36" i="9" s="1"/>
  <c r="BD35" i="9"/>
  <c r="AK36" i="9"/>
  <c r="BB36" i="9" s="1"/>
  <c r="AM37" i="9"/>
  <c r="R38" i="9"/>
  <c r="X38" i="9" s="1"/>
  <c r="T37" i="9"/>
  <c r="AO37" i="9" s="1"/>
  <c r="S37" i="9"/>
  <c r="AR37" i="9"/>
  <c r="S32" i="6"/>
  <c r="Y31" i="6"/>
  <c r="W30" i="6"/>
  <c r="AR30" i="6" s="1"/>
  <c r="V30" i="6"/>
  <c r="AQ30" i="6" s="1"/>
  <c r="T31" i="6"/>
  <c r="AO31" i="6" s="1"/>
  <c r="U31" i="6"/>
  <c r="AP31" i="6" s="1"/>
  <c r="BD29" i="6"/>
  <c r="BF29" i="6" s="1"/>
  <c r="BG29" i="6" s="1"/>
  <c r="AN31" i="6"/>
  <c r="AL30" i="6"/>
  <c r="AN37" i="9" l="1"/>
  <c r="V37" i="9"/>
  <c r="AQ37" i="9" s="1"/>
  <c r="U37" i="9"/>
  <c r="AP37" i="9" s="1"/>
  <c r="BD36" i="9"/>
  <c r="AK37" i="9"/>
  <c r="BB37" i="9" s="1"/>
  <c r="AM38" i="9"/>
  <c r="R39" i="9"/>
  <c r="X39" i="9" s="1"/>
  <c r="T38" i="9"/>
  <c r="AO38" i="9" s="1"/>
  <c r="S38" i="9"/>
  <c r="AR38" i="9"/>
  <c r="S33" i="6"/>
  <c r="Y32" i="6"/>
  <c r="W31" i="6"/>
  <c r="AR31" i="6" s="1"/>
  <c r="V31" i="6"/>
  <c r="AQ31" i="6" s="1"/>
  <c r="T32" i="6"/>
  <c r="AO32" i="6" s="1"/>
  <c r="U32" i="6"/>
  <c r="AP32" i="6" s="1"/>
  <c r="BD30" i="6"/>
  <c r="BF30" i="6" s="1"/>
  <c r="BG30" i="6" s="1"/>
  <c r="AL31" i="6"/>
  <c r="BD31" i="6" s="1"/>
  <c r="AS31" i="6"/>
  <c r="AN32" i="6"/>
  <c r="AN38" i="9" l="1"/>
  <c r="U38" i="9"/>
  <c r="AP38" i="9" s="1"/>
  <c r="V38" i="9"/>
  <c r="AQ38" i="9" s="1"/>
  <c r="BD37" i="9"/>
  <c r="AK38" i="9"/>
  <c r="BB38" i="9" s="1"/>
  <c r="AM39" i="9"/>
  <c r="AR39" i="9"/>
  <c r="R40" i="9"/>
  <c r="X40" i="9" s="1"/>
  <c r="T39" i="9"/>
  <c r="AO39" i="9" s="1"/>
  <c r="S39" i="9"/>
  <c r="S34" i="6"/>
  <c r="Y33" i="6"/>
  <c r="AS33" i="6" s="1"/>
  <c r="W32" i="6"/>
  <c r="AR32" i="6" s="1"/>
  <c r="V32" i="6"/>
  <c r="AQ32" i="6" s="1"/>
  <c r="T33" i="6"/>
  <c r="AO33" i="6" s="1"/>
  <c r="U33" i="6"/>
  <c r="AP33" i="6" s="1"/>
  <c r="BF31" i="6"/>
  <c r="BG31" i="6" s="1"/>
  <c r="AL32" i="6"/>
  <c r="BD32" i="6" s="1"/>
  <c r="AS32" i="6"/>
  <c r="AN33" i="6"/>
  <c r="AN39" i="9" l="1"/>
  <c r="V39" i="9"/>
  <c r="AQ39" i="9" s="1"/>
  <c r="U39" i="9"/>
  <c r="AP39" i="9" s="1"/>
  <c r="AK39" i="9"/>
  <c r="BB39" i="9" s="1"/>
  <c r="BD38" i="9"/>
  <c r="AM40" i="9"/>
  <c r="R41" i="9"/>
  <c r="X41" i="9" s="1"/>
  <c r="AR40" i="9"/>
  <c r="T40" i="9"/>
  <c r="AO40" i="9" s="1"/>
  <c r="S40" i="9"/>
  <c r="S35" i="6"/>
  <c r="Y34" i="6"/>
  <c r="W33" i="6"/>
  <c r="AR33" i="6" s="1"/>
  <c r="V33" i="6"/>
  <c r="AQ33" i="6" s="1"/>
  <c r="T34" i="6"/>
  <c r="AO34" i="6" s="1"/>
  <c r="U34" i="6"/>
  <c r="AP34" i="6" s="1"/>
  <c r="BF32" i="6"/>
  <c r="BG32" i="6" s="1"/>
  <c r="AN34" i="6"/>
  <c r="AL33" i="6"/>
  <c r="AN40" i="9" l="1"/>
  <c r="V40" i="9"/>
  <c r="AQ40" i="9" s="1"/>
  <c r="U40" i="9"/>
  <c r="AP40" i="9" s="1"/>
  <c r="BD39" i="9"/>
  <c r="AM41" i="9"/>
  <c r="R42" i="9"/>
  <c r="X42" i="9" s="1"/>
  <c r="AR41" i="9"/>
  <c r="T41" i="9"/>
  <c r="AO41" i="9" s="1"/>
  <c r="S41" i="9"/>
  <c r="AK40" i="9"/>
  <c r="BB40" i="9" s="1"/>
  <c r="S36" i="6"/>
  <c r="Y35" i="6"/>
  <c r="V34" i="6"/>
  <c r="AQ34" i="6" s="1"/>
  <c r="W34" i="6"/>
  <c r="AR34" i="6" s="1"/>
  <c r="T35" i="6"/>
  <c r="AO35" i="6" s="1"/>
  <c r="U35" i="6"/>
  <c r="AP35" i="6" s="1"/>
  <c r="BD33" i="6"/>
  <c r="BF33" i="6" s="1"/>
  <c r="BG33" i="6" s="1"/>
  <c r="AL34" i="6"/>
  <c r="BD34" i="6" s="1"/>
  <c r="AS34" i="6"/>
  <c r="AN35" i="6"/>
  <c r="AN41" i="9" l="1"/>
  <c r="V41" i="9"/>
  <c r="AQ41" i="9" s="1"/>
  <c r="U41" i="9"/>
  <c r="AP41" i="9" s="1"/>
  <c r="BD40" i="9"/>
  <c r="AM42" i="9"/>
  <c r="T42" i="9"/>
  <c r="AO42" i="9" s="1"/>
  <c r="S42" i="9"/>
  <c r="R43" i="9"/>
  <c r="X43" i="9" s="1"/>
  <c r="AR42" i="9"/>
  <c r="AK41" i="9"/>
  <c r="BB41" i="9" s="1"/>
  <c r="S37" i="6"/>
  <c r="Y36" i="6"/>
  <c r="AS36" i="6" s="1"/>
  <c r="V35" i="6"/>
  <c r="AQ35" i="6" s="1"/>
  <c r="W35" i="6"/>
  <c r="AR35" i="6" s="1"/>
  <c r="T36" i="6"/>
  <c r="AO36" i="6" s="1"/>
  <c r="U36" i="6"/>
  <c r="AP36" i="6" s="1"/>
  <c r="BF34" i="6"/>
  <c r="BG34" i="6" s="1"/>
  <c r="AL35" i="6"/>
  <c r="BD35" i="6" s="1"/>
  <c r="AS35" i="6"/>
  <c r="AN36" i="6"/>
  <c r="AN42" i="9" l="1"/>
  <c r="V42" i="9"/>
  <c r="AQ42" i="9" s="1"/>
  <c r="U42" i="9"/>
  <c r="AP42" i="9" s="1"/>
  <c r="BD41" i="9"/>
  <c r="AM43" i="9"/>
  <c r="R44" i="9"/>
  <c r="X44" i="9" s="1"/>
  <c r="AR43" i="9"/>
  <c r="T43" i="9"/>
  <c r="AO43" i="9" s="1"/>
  <c r="S43" i="9"/>
  <c r="AK42" i="9"/>
  <c r="BB42" i="9" s="1"/>
  <c r="S38" i="6"/>
  <c r="Y37" i="6"/>
  <c r="V36" i="6"/>
  <c r="AQ36" i="6" s="1"/>
  <c r="W36" i="6"/>
  <c r="AR36" i="6" s="1"/>
  <c r="T37" i="6"/>
  <c r="AO37" i="6" s="1"/>
  <c r="U37" i="6"/>
  <c r="AP37" i="6" s="1"/>
  <c r="BF35" i="6"/>
  <c r="BG35" i="6" s="1"/>
  <c r="AN37" i="6"/>
  <c r="AL36" i="6"/>
  <c r="AN43" i="9" l="1"/>
  <c r="U43" i="9"/>
  <c r="AP43" i="9" s="1"/>
  <c r="V43" i="9"/>
  <c r="AQ43" i="9" s="1"/>
  <c r="BD42" i="9"/>
  <c r="AK43" i="9"/>
  <c r="BB43" i="9" s="1"/>
  <c r="AM44" i="9"/>
  <c r="R45" i="9"/>
  <c r="X45" i="9" s="1"/>
  <c r="AR44" i="9"/>
  <c r="T44" i="9"/>
  <c r="AO44" i="9" s="1"/>
  <c r="S44" i="9"/>
  <c r="S39" i="6"/>
  <c r="BA39" i="6" s="1"/>
  <c r="Y38" i="6"/>
  <c r="AS38" i="6" s="1"/>
  <c r="W37" i="6"/>
  <c r="AR37" i="6" s="1"/>
  <c r="V37" i="6"/>
  <c r="AQ37" i="6" s="1"/>
  <c r="T38" i="6"/>
  <c r="AO38" i="6" s="1"/>
  <c r="U38" i="6"/>
  <c r="AP38" i="6" s="1"/>
  <c r="BD36" i="6"/>
  <c r="BF36" i="6" s="1"/>
  <c r="BG36" i="6" s="1"/>
  <c r="AL37" i="6"/>
  <c r="BD37" i="6" s="1"/>
  <c r="AS37" i="6"/>
  <c r="AN38" i="6"/>
  <c r="AN44" i="9" l="1"/>
  <c r="U44" i="9"/>
  <c r="AP44" i="9" s="1"/>
  <c r="V44" i="9"/>
  <c r="AQ44" i="9" s="1"/>
  <c r="BD43" i="9"/>
  <c r="AM45" i="9"/>
  <c r="T45" i="9"/>
  <c r="AO45" i="9" s="1"/>
  <c r="S45" i="9"/>
  <c r="R46" i="9"/>
  <c r="X46" i="9" s="1"/>
  <c r="AR45" i="9"/>
  <c r="AK44" i="9"/>
  <c r="BB44" i="9" s="1"/>
  <c r="S40" i="6"/>
  <c r="AA40" i="6" s="1"/>
  <c r="BA40" i="6" s="1"/>
  <c r="Y39" i="6"/>
  <c r="V38" i="6"/>
  <c r="AQ38" i="6" s="1"/>
  <c r="W38" i="6"/>
  <c r="AR38" i="6" s="1"/>
  <c r="T39" i="6"/>
  <c r="AO39" i="6" s="1"/>
  <c r="U39" i="6"/>
  <c r="AP39" i="6" s="1"/>
  <c r="BF37" i="6"/>
  <c r="BG37" i="6" s="1"/>
  <c r="AN39" i="6"/>
  <c r="AL38" i="6"/>
  <c r="AN45" i="9" l="1"/>
  <c r="U45" i="9"/>
  <c r="AP45" i="9" s="1"/>
  <c r="V45" i="9"/>
  <c r="AQ45" i="9" s="1"/>
  <c r="BD44" i="9"/>
  <c r="AM46" i="9"/>
  <c r="AR46" i="9"/>
  <c r="T46" i="9"/>
  <c r="AO46" i="9" s="1"/>
  <c r="R47" i="9"/>
  <c r="X47" i="9" s="1"/>
  <c r="S46" i="9"/>
  <c r="AK45" i="9"/>
  <c r="BB45" i="9" s="1"/>
  <c r="S41" i="6"/>
  <c r="Y40" i="6"/>
  <c r="AS40" i="6" s="1"/>
  <c r="V39" i="6"/>
  <c r="AQ39" i="6" s="1"/>
  <c r="W39" i="6"/>
  <c r="AR39" i="6" s="1"/>
  <c r="U40" i="6"/>
  <c r="AP40" i="6" s="1"/>
  <c r="T40" i="6"/>
  <c r="AO40" i="6" s="1"/>
  <c r="BD38" i="6"/>
  <c r="BF38" i="6" s="1"/>
  <c r="BG38" i="6" s="1"/>
  <c r="AL39" i="6"/>
  <c r="BD39" i="6" s="1"/>
  <c r="AS39" i="6"/>
  <c r="AN40" i="6"/>
  <c r="AN46" i="9" l="1"/>
  <c r="V46" i="9"/>
  <c r="AQ46" i="9" s="1"/>
  <c r="U46" i="9"/>
  <c r="AP46" i="9" s="1"/>
  <c r="BD45" i="9"/>
  <c r="AK46" i="9"/>
  <c r="BB46" i="9" s="1"/>
  <c r="AM47" i="9"/>
  <c r="S47" i="9"/>
  <c r="AR47" i="9"/>
  <c r="T47" i="9"/>
  <c r="AO47" i="9" s="1"/>
  <c r="R48" i="9"/>
  <c r="X48" i="9" s="1"/>
  <c r="BA41" i="6"/>
  <c r="S42" i="6"/>
  <c r="Y41" i="6"/>
  <c r="AS41" i="6" s="1"/>
  <c r="V40" i="6"/>
  <c r="AQ40" i="6" s="1"/>
  <c r="W40" i="6"/>
  <c r="AR40" i="6" s="1"/>
  <c r="T41" i="6"/>
  <c r="AO41" i="6" s="1"/>
  <c r="U41" i="6"/>
  <c r="AP41" i="6" s="1"/>
  <c r="BF39" i="6"/>
  <c r="BG39" i="6" s="1"/>
  <c r="AN41" i="6"/>
  <c r="AL40" i="6"/>
  <c r="AN47" i="9" l="1"/>
  <c r="V47" i="9"/>
  <c r="AQ47" i="9" s="1"/>
  <c r="U47" i="9"/>
  <c r="AP47" i="9" s="1"/>
  <c r="BD46" i="9"/>
  <c r="AM48" i="9"/>
  <c r="S48" i="9"/>
  <c r="AR48" i="9"/>
  <c r="T48" i="9"/>
  <c r="AO48" i="9" s="1"/>
  <c r="R49" i="9"/>
  <c r="X49" i="9" s="1"/>
  <c r="AK47" i="9"/>
  <c r="BB47" i="9" s="1"/>
  <c r="S43" i="6"/>
  <c r="Y42" i="6"/>
  <c r="V41" i="6"/>
  <c r="AQ41" i="6" s="1"/>
  <c r="W41" i="6"/>
  <c r="AR41" i="6" s="1"/>
  <c r="T42" i="6"/>
  <c r="AO42" i="6" s="1"/>
  <c r="U42" i="6"/>
  <c r="AP42" i="6" s="1"/>
  <c r="BD40" i="6"/>
  <c r="BF40" i="6" s="1"/>
  <c r="BG40" i="6" s="1"/>
  <c r="AN42" i="6"/>
  <c r="AL41" i="6"/>
  <c r="AN48" i="9" l="1"/>
  <c r="V48" i="9"/>
  <c r="AQ48" i="9" s="1"/>
  <c r="U48" i="9"/>
  <c r="AP48" i="9" s="1"/>
  <c r="BD47" i="9"/>
  <c r="AK48" i="9"/>
  <c r="BB48" i="9" s="1"/>
  <c r="AM49" i="9"/>
  <c r="R50" i="9"/>
  <c r="X50" i="9" s="1"/>
  <c r="S49" i="9"/>
  <c r="AR49" i="9"/>
  <c r="T49" i="9"/>
  <c r="AO49" i="9" s="1"/>
  <c r="S44" i="6"/>
  <c r="BA44" i="6" s="1"/>
  <c r="Y43" i="6"/>
  <c r="V42" i="6"/>
  <c r="AQ42" i="6" s="1"/>
  <c r="W42" i="6"/>
  <c r="AR42" i="6" s="1"/>
  <c r="T43" i="6"/>
  <c r="AO43" i="6" s="1"/>
  <c r="U43" i="6"/>
  <c r="AP43" i="6" s="1"/>
  <c r="BD41" i="6"/>
  <c r="BF41" i="6" s="1"/>
  <c r="BG41" i="6" s="1"/>
  <c r="AL42" i="6"/>
  <c r="BD42" i="6" s="1"/>
  <c r="AS42" i="6"/>
  <c r="AN43" i="6"/>
  <c r="AN49" i="9" l="1"/>
  <c r="V49" i="9"/>
  <c r="AQ49" i="9" s="1"/>
  <c r="U49" i="9"/>
  <c r="AP49" i="9" s="1"/>
  <c r="BD48" i="9"/>
  <c r="AK49" i="9"/>
  <c r="BB49" i="9" s="1"/>
  <c r="AM50" i="9"/>
  <c r="T50" i="9"/>
  <c r="AO50" i="9" s="1"/>
  <c r="R51" i="9"/>
  <c r="X51" i="9" s="1"/>
  <c r="AR50" i="9"/>
  <c r="S50" i="9"/>
  <c r="S45" i="6"/>
  <c r="Y44" i="6"/>
  <c r="W43" i="6"/>
  <c r="AR43" i="6" s="1"/>
  <c r="V43" i="6"/>
  <c r="AQ43" i="6" s="1"/>
  <c r="T44" i="6"/>
  <c r="AO44" i="6" s="1"/>
  <c r="U44" i="6"/>
  <c r="AP44" i="6" s="1"/>
  <c r="BF42" i="6"/>
  <c r="BG42" i="6" s="1"/>
  <c r="BA43" i="6"/>
  <c r="AL43" i="6"/>
  <c r="BD43" i="6" s="1"/>
  <c r="AS43" i="6"/>
  <c r="AN44" i="6"/>
  <c r="AN50" i="9" l="1"/>
  <c r="U50" i="9"/>
  <c r="AP50" i="9" s="1"/>
  <c r="V50" i="9"/>
  <c r="AQ50" i="9" s="1"/>
  <c r="BD49" i="9"/>
  <c r="AM51" i="9"/>
  <c r="T51" i="9"/>
  <c r="AO51" i="9" s="1"/>
  <c r="R52" i="9"/>
  <c r="X52" i="9" s="1"/>
  <c r="AR51" i="9"/>
  <c r="S51" i="9"/>
  <c r="AK50" i="9"/>
  <c r="BB50" i="9" s="1"/>
  <c r="S46" i="6"/>
  <c r="Y45" i="6"/>
  <c r="W44" i="6"/>
  <c r="AR44" i="6" s="1"/>
  <c r="V44" i="6"/>
  <c r="AQ44" i="6" s="1"/>
  <c r="T45" i="6"/>
  <c r="AO45" i="6" s="1"/>
  <c r="U45" i="6"/>
  <c r="AP45" i="6" s="1"/>
  <c r="BF43" i="6"/>
  <c r="BG43" i="6" s="1"/>
  <c r="AL44" i="6"/>
  <c r="BD44" i="6" s="1"/>
  <c r="AS44" i="6"/>
  <c r="AN45" i="6"/>
  <c r="AN51" i="9" l="1"/>
  <c r="V51" i="9"/>
  <c r="AQ51" i="9" s="1"/>
  <c r="U51" i="9"/>
  <c r="AP51" i="9" s="1"/>
  <c r="BD50" i="9"/>
  <c r="AK51" i="9"/>
  <c r="BB51" i="9" s="1"/>
  <c r="R53" i="9"/>
  <c r="X53" i="9" s="1"/>
  <c r="AM52" i="9"/>
  <c r="T52" i="9"/>
  <c r="AO52" i="9" s="1"/>
  <c r="AR52" i="9"/>
  <c r="S52" i="9"/>
  <c r="S47" i="6"/>
  <c r="Y46" i="6"/>
  <c r="AS46" i="6" s="1"/>
  <c r="V45" i="6"/>
  <c r="AQ45" i="6" s="1"/>
  <c r="W45" i="6"/>
  <c r="AR45" i="6" s="1"/>
  <c r="T46" i="6"/>
  <c r="AO46" i="6" s="1"/>
  <c r="U46" i="6"/>
  <c r="AP46" i="6" s="1"/>
  <c r="BF44" i="6"/>
  <c r="BG44" i="6" s="1"/>
  <c r="AL45" i="6"/>
  <c r="BD45" i="6" s="1"/>
  <c r="AS45" i="6"/>
  <c r="AN46" i="6"/>
  <c r="AN52" i="9" l="1"/>
  <c r="V52" i="9"/>
  <c r="AQ52" i="9" s="1"/>
  <c r="U52" i="9"/>
  <c r="AP52" i="9" s="1"/>
  <c r="BD51" i="9"/>
  <c r="T53" i="9"/>
  <c r="AO53" i="9" s="1"/>
  <c r="R54" i="9"/>
  <c r="X54" i="9" s="1"/>
  <c r="AR53" i="9"/>
  <c r="S53" i="9"/>
  <c r="AM53" i="9"/>
  <c r="AK52" i="9"/>
  <c r="BB52" i="9" s="1"/>
  <c r="S48" i="6"/>
  <c r="Y47" i="6"/>
  <c r="V46" i="6"/>
  <c r="AQ46" i="6" s="1"/>
  <c r="W46" i="6"/>
  <c r="AR46" i="6" s="1"/>
  <c r="T47" i="6"/>
  <c r="U47" i="6"/>
  <c r="BF45" i="6"/>
  <c r="BG45" i="6" s="1"/>
  <c r="AN47" i="6"/>
  <c r="AL46" i="6"/>
  <c r="AN53" i="9" l="1"/>
  <c r="V53" i="9"/>
  <c r="AQ53" i="9" s="1"/>
  <c r="U53" i="9"/>
  <c r="AP53" i="9" s="1"/>
  <c r="BD52" i="9"/>
  <c r="AK53" i="9"/>
  <c r="BB53" i="9" s="1"/>
  <c r="T54" i="9"/>
  <c r="AO54" i="9" s="1"/>
  <c r="R55" i="9"/>
  <c r="X55" i="9" s="1"/>
  <c r="AR54" i="9"/>
  <c r="S54" i="9"/>
  <c r="AM54" i="9"/>
  <c r="AP47" i="6"/>
  <c r="AO47" i="6"/>
  <c r="S49" i="6"/>
  <c r="AA49" i="6" s="1"/>
  <c r="BA49" i="6" s="1"/>
  <c r="Y48" i="6"/>
  <c r="AS48" i="6" s="1"/>
  <c r="W47" i="6"/>
  <c r="AR47" i="6" s="1"/>
  <c r="V47" i="6"/>
  <c r="AQ47" i="6" s="1"/>
  <c r="T48" i="6"/>
  <c r="AO48" i="6" s="1"/>
  <c r="U48" i="6"/>
  <c r="AP48" i="6" s="1"/>
  <c r="BD46" i="6"/>
  <c r="BF46" i="6" s="1"/>
  <c r="BG46" i="6" s="1"/>
  <c r="AL47" i="6"/>
  <c r="BD47" i="6" s="1"/>
  <c r="AS47" i="6"/>
  <c r="AN48" i="6"/>
  <c r="AN54" i="9" l="1"/>
  <c r="V54" i="9"/>
  <c r="AQ54" i="9" s="1"/>
  <c r="U54" i="9"/>
  <c r="AP54" i="9" s="1"/>
  <c r="BD53" i="9"/>
  <c r="T55" i="9"/>
  <c r="AO55" i="9" s="1"/>
  <c r="R56" i="9"/>
  <c r="X56" i="9" s="1"/>
  <c r="AR55" i="9"/>
  <c r="S55" i="9"/>
  <c r="AM55" i="9"/>
  <c r="AK54" i="9"/>
  <c r="BB54" i="9" s="1"/>
  <c r="S50" i="6"/>
  <c r="Y49" i="6"/>
  <c r="V48" i="6"/>
  <c r="AQ48" i="6" s="1"/>
  <c r="W48" i="6"/>
  <c r="AR48" i="6" s="1"/>
  <c r="T49" i="6"/>
  <c r="AO49" i="6" s="1"/>
  <c r="U49" i="6"/>
  <c r="AP49" i="6" s="1"/>
  <c r="BF47" i="6"/>
  <c r="BG47" i="6" s="1"/>
  <c r="AN49" i="6"/>
  <c r="AL48" i="6"/>
  <c r="AN55" i="9" l="1"/>
  <c r="U55" i="9"/>
  <c r="AP55" i="9" s="1"/>
  <c r="V55" i="9"/>
  <c r="AQ55" i="9" s="1"/>
  <c r="BD54" i="9"/>
  <c r="T56" i="9"/>
  <c r="AO56" i="9" s="1"/>
  <c r="R57" i="9"/>
  <c r="X57" i="9" s="1"/>
  <c r="AR56" i="9"/>
  <c r="S56" i="9"/>
  <c r="AM56" i="9"/>
  <c r="AK55" i="9"/>
  <c r="BB55" i="9" s="1"/>
  <c r="S51" i="6"/>
  <c r="Y50" i="6"/>
  <c r="AS50" i="6" s="1"/>
  <c r="V49" i="6"/>
  <c r="AQ49" i="6" s="1"/>
  <c r="W49" i="6"/>
  <c r="AR49" i="6" s="1"/>
  <c r="T50" i="6"/>
  <c r="AO50" i="6" s="1"/>
  <c r="U50" i="6"/>
  <c r="AP50" i="6" s="1"/>
  <c r="BD48" i="6"/>
  <c r="BF48" i="6" s="1"/>
  <c r="BG48" i="6" s="1"/>
  <c r="AL49" i="6"/>
  <c r="BD49" i="6" s="1"/>
  <c r="AS49" i="6"/>
  <c r="AN50" i="6"/>
  <c r="AN56" i="9" l="1"/>
  <c r="U56" i="9"/>
  <c r="AP56" i="9" s="1"/>
  <c r="V56" i="9"/>
  <c r="AQ56" i="9" s="1"/>
  <c r="BD55" i="9"/>
  <c r="T57" i="9"/>
  <c r="AO57" i="9" s="1"/>
  <c r="R58" i="9"/>
  <c r="X58" i="9" s="1"/>
  <c r="AR57" i="9"/>
  <c r="S57" i="9"/>
  <c r="AM57" i="9"/>
  <c r="AK56" i="9"/>
  <c r="BB56" i="9" s="1"/>
  <c r="S52" i="6"/>
  <c r="Y51" i="6"/>
  <c r="V50" i="6"/>
  <c r="AQ50" i="6" s="1"/>
  <c r="W50" i="6"/>
  <c r="AR50" i="6" s="1"/>
  <c r="T51" i="6"/>
  <c r="AO51" i="6" s="1"/>
  <c r="U51" i="6"/>
  <c r="AP51" i="6" s="1"/>
  <c r="BF49" i="6"/>
  <c r="BG49" i="6" s="1"/>
  <c r="AN51" i="6"/>
  <c r="AL50" i="6"/>
  <c r="AN57" i="9" l="1"/>
  <c r="U57" i="9"/>
  <c r="AP57" i="9" s="1"/>
  <c r="V57" i="9"/>
  <c r="AQ57" i="9" s="1"/>
  <c r="BD56" i="9"/>
  <c r="T58" i="9"/>
  <c r="AO58" i="9" s="1"/>
  <c r="R59" i="9"/>
  <c r="X59" i="9" s="1"/>
  <c r="AR58" i="9"/>
  <c r="S58" i="9"/>
  <c r="AM58" i="9"/>
  <c r="AK57" i="9"/>
  <c r="BB57" i="9" s="1"/>
  <c r="S53" i="6"/>
  <c r="Y52" i="6"/>
  <c r="W51" i="6"/>
  <c r="AR51" i="6" s="1"/>
  <c r="V51" i="6"/>
  <c r="AQ51" i="6" s="1"/>
  <c r="U52" i="6"/>
  <c r="AP52" i="6" s="1"/>
  <c r="T52" i="6"/>
  <c r="AO52" i="6" s="1"/>
  <c r="BD50" i="6"/>
  <c r="BF50" i="6" s="1"/>
  <c r="BG50" i="6" s="1"/>
  <c r="AL51" i="6"/>
  <c r="BD51" i="6" s="1"/>
  <c r="AS51" i="6"/>
  <c r="AN52" i="6"/>
  <c r="AN58" i="9" l="1"/>
  <c r="V58" i="9"/>
  <c r="AQ58" i="9" s="1"/>
  <c r="U58" i="9"/>
  <c r="AP58" i="9" s="1"/>
  <c r="BD57" i="9"/>
  <c r="T59" i="9"/>
  <c r="AO59" i="9" s="1"/>
  <c r="R60" i="9"/>
  <c r="X60" i="9" s="1"/>
  <c r="AR59" i="9"/>
  <c r="S59" i="9"/>
  <c r="AM59" i="9"/>
  <c r="AK58" i="9"/>
  <c r="BB58" i="9" s="1"/>
  <c r="S54" i="6"/>
  <c r="Y53" i="6"/>
  <c r="V52" i="6"/>
  <c r="W52" i="6"/>
  <c r="T53" i="6"/>
  <c r="AO53" i="6" s="1"/>
  <c r="U53" i="6"/>
  <c r="AP53" i="6" s="1"/>
  <c r="BF51" i="6"/>
  <c r="BG51" i="6" s="1"/>
  <c r="AL52" i="6"/>
  <c r="BD52" i="6" s="1"/>
  <c r="AS52" i="6"/>
  <c r="AN53" i="6"/>
  <c r="AN59" i="9" l="1"/>
  <c r="V59" i="9"/>
  <c r="AQ59" i="9" s="1"/>
  <c r="U59" i="9"/>
  <c r="AP59" i="9" s="1"/>
  <c r="BD58" i="9"/>
  <c r="T60" i="9"/>
  <c r="AO60" i="9" s="1"/>
  <c r="R61" i="9"/>
  <c r="X61" i="9" s="1"/>
  <c r="AR60" i="9"/>
  <c r="S60" i="9"/>
  <c r="AM60" i="9"/>
  <c r="AK59" i="9"/>
  <c r="BB59" i="9" s="1"/>
  <c r="AR52" i="6"/>
  <c r="AQ52" i="6"/>
  <c r="S55" i="6"/>
  <c r="Y54" i="6"/>
  <c r="AS54" i="6" s="1"/>
  <c r="W53" i="6"/>
  <c r="AR53" i="6" s="1"/>
  <c r="AL53" i="6"/>
  <c r="BD53" i="6" s="1"/>
  <c r="V53" i="6"/>
  <c r="AQ53" i="6" s="1"/>
  <c r="T54" i="6"/>
  <c r="AO54" i="6" s="1"/>
  <c r="U54" i="6"/>
  <c r="AP54" i="6" s="1"/>
  <c r="AS53" i="6"/>
  <c r="AN54" i="6"/>
  <c r="AN60" i="9" l="1"/>
  <c r="V60" i="9"/>
  <c r="AQ60" i="9" s="1"/>
  <c r="U60" i="9"/>
  <c r="AP60" i="9" s="1"/>
  <c r="BD59" i="9"/>
  <c r="T61" i="9"/>
  <c r="AO61" i="9" s="1"/>
  <c r="R62" i="9"/>
  <c r="X62" i="9" s="1"/>
  <c r="AR61" i="9"/>
  <c r="S61" i="9"/>
  <c r="AM61" i="9"/>
  <c r="AK60" i="9"/>
  <c r="BB60" i="9" s="1"/>
  <c r="BF52" i="6"/>
  <c r="BG52" i="6" s="1"/>
  <c r="S56" i="6"/>
  <c r="Y55" i="6"/>
  <c r="AL54" i="6"/>
  <c r="BD54" i="6" s="1"/>
  <c r="W54" i="6"/>
  <c r="AR54" i="6" s="1"/>
  <c r="V54" i="6"/>
  <c r="T55" i="6"/>
  <c r="AO55" i="6" s="1"/>
  <c r="U55" i="6"/>
  <c r="AP55" i="6" s="1"/>
  <c r="BF53" i="6"/>
  <c r="BG53" i="6" s="1"/>
  <c r="AN55" i="6"/>
  <c r="AN61" i="9" l="1"/>
  <c r="V61" i="9"/>
  <c r="AQ61" i="9" s="1"/>
  <c r="U61" i="9"/>
  <c r="AP61" i="9" s="1"/>
  <c r="AQ54" i="6"/>
  <c r="BF54" i="6" s="1"/>
  <c r="BG54" i="6" s="1"/>
  <c r="BD60" i="9"/>
  <c r="AK61" i="9"/>
  <c r="BB61" i="9" s="1"/>
  <c r="T62" i="9"/>
  <c r="AO62" i="9" s="1"/>
  <c r="R63" i="9"/>
  <c r="X63" i="9" s="1"/>
  <c r="AR62" i="9"/>
  <c r="AM62" i="9"/>
  <c r="S62" i="9"/>
  <c r="S57" i="6"/>
  <c r="Y56" i="6"/>
  <c r="AL55" i="6"/>
  <c r="BD55" i="6" s="1"/>
  <c r="W55" i="6"/>
  <c r="AR55" i="6" s="1"/>
  <c r="V55" i="6"/>
  <c r="AQ55" i="6" s="1"/>
  <c r="T56" i="6"/>
  <c r="U56" i="6"/>
  <c r="AP56" i="6" s="1"/>
  <c r="AS55" i="6"/>
  <c r="AN56" i="6"/>
  <c r="AN62" i="9" l="1"/>
  <c r="U62" i="9"/>
  <c r="AP62" i="9" s="1"/>
  <c r="V62" i="9"/>
  <c r="AQ62" i="9" s="1"/>
  <c r="BD61" i="9"/>
  <c r="AK62" i="9"/>
  <c r="BB62" i="9" s="1"/>
  <c r="AM63" i="9"/>
  <c r="T63" i="9"/>
  <c r="AO63" i="9" s="1"/>
  <c r="R64" i="9"/>
  <c r="X64" i="9" s="1"/>
  <c r="AR63" i="9"/>
  <c r="S63" i="9"/>
  <c r="S58" i="6"/>
  <c r="Y57" i="6"/>
  <c r="AO56" i="6"/>
  <c r="V56" i="6"/>
  <c r="AQ56" i="6" s="1"/>
  <c r="AL56" i="6"/>
  <c r="BD56" i="6" s="1"/>
  <c r="W56" i="6"/>
  <c r="AR56" i="6" s="1"/>
  <c r="T57" i="6"/>
  <c r="U57" i="6"/>
  <c r="AP57" i="6" s="1"/>
  <c r="BF55" i="6"/>
  <c r="BG55" i="6" s="1"/>
  <c r="AS56" i="6"/>
  <c r="AN57" i="6"/>
  <c r="AN63" i="9" l="1"/>
  <c r="V63" i="9"/>
  <c r="AQ63" i="9" s="1"/>
  <c r="U63" i="9"/>
  <c r="AP63" i="9" s="1"/>
  <c r="BD62" i="9"/>
  <c r="AK63" i="9"/>
  <c r="BB63" i="9" s="1"/>
  <c r="AM64" i="9"/>
  <c r="T64" i="9"/>
  <c r="AO64" i="9" s="1"/>
  <c r="R65" i="9"/>
  <c r="X65" i="9" s="1"/>
  <c r="AR64" i="9"/>
  <c r="S64" i="9"/>
  <c r="S59" i="6"/>
  <c r="Y58" i="6"/>
  <c r="AO57" i="6"/>
  <c r="AL57" i="6"/>
  <c r="BD57" i="6" s="1"/>
  <c r="V57" i="6"/>
  <c r="AQ57" i="6" s="1"/>
  <c r="W57" i="6"/>
  <c r="AR57" i="6" s="1"/>
  <c r="T58" i="6"/>
  <c r="U58" i="6"/>
  <c r="AP58" i="6" s="1"/>
  <c r="BF56" i="6"/>
  <c r="BG56" i="6" s="1"/>
  <c r="AS57" i="6"/>
  <c r="AN58" i="6"/>
  <c r="V64" i="9" l="1"/>
  <c r="AQ64" i="9" s="1"/>
  <c r="U64" i="9"/>
  <c r="AP64" i="9" s="1"/>
  <c r="BD63" i="9"/>
  <c r="AK64" i="9"/>
  <c r="BB64" i="9" s="1"/>
  <c r="AM65" i="9"/>
  <c r="AM66" i="9" s="1"/>
  <c r="G6" i="7" s="1"/>
  <c r="T65" i="9"/>
  <c r="S65" i="9"/>
  <c r="AN64" i="9"/>
  <c r="S66" i="9"/>
  <c r="S60" i="6"/>
  <c r="Y59" i="6"/>
  <c r="AO58" i="6"/>
  <c r="AL58" i="6"/>
  <c r="BD58" i="6" s="1"/>
  <c r="V58" i="6"/>
  <c r="AQ58" i="6" s="1"/>
  <c r="W58" i="6"/>
  <c r="AR58" i="6" s="1"/>
  <c r="T59" i="6"/>
  <c r="U59" i="6"/>
  <c r="AP59" i="6" s="1"/>
  <c r="BF57" i="6"/>
  <c r="BG57" i="6" s="1"/>
  <c r="AS58" i="6"/>
  <c r="AN59" i="6"/>
  <c r="AN65" i="9" l="1"/>
  <c r="AN66" i="9" s="1"/>
  <c r="G16" i="7" s="1"/>
  <c r="V65" i="9"/>
  <c r="U65" i="9"/>
  <c r="AP65" i="9" s="1"/>
  <c r="AP66" i="9" s="1"/>
  <c r="G18" i="7" s="1"/>
  <c r="BD64" i="9"/>
  <c r="AO65" i="9"/>
  <c r="AO66" i="9" s="1"/>
  <c r="T66" i="9"/>
  <c r="AK65" i="9"/>
  <c r="BB65" i="9" s="1"/>
  <c r="BB66" i="9" s="1"/>
  <c r="G22" i="7" s="1"/>
  <c r="AR65" i="9"/>
  <c r="AR66" i="9" s="1"/>
  <c r="G7" i="7" s="1"/>
  <c r="X66" i="9"/>
  <c r="S61" i="6"/>
  <c r="S62" i="6" s="1"/>
  <c r="S63" i="6" s="1"/>
  <c r="S64" i="6" s="1"/>
  <c r="S65" i="6" s="1"/>
  <c r="Y60" i="6"/>
  <c r="AL59" i="6"/>
  <c r="BD59" i="6" s="1"/>
  <c r="AO59" i="6"/>
  <c r="W59" i="6"/>
  <c r="AR59" i="6" s="1"/>
  <c r="V59" i="6"/>
  <c r="AQ59" i="6" s="1"/>
  <c r="T60" i="6"/>
  <c r="U60" i="6"/>
  <c r="AP60" i="6" s="1"/>
  <c r="BF58" i="6"/>
  <c r="BG58" i="6" s="1"/>
  <c r="AS59" i="6"/>
  <c r="AN60" i="6"/>
  <c r="U66" i="9" l="1"/>
  <c r="T65" i="6"/>
  <c r="AO65" i="6" s="1"/>
  <c r="Y65" i="6"/>
  <c r="AS65" i="6" s="1"/>
  <c r="AN65" i="6"/>
  <c r="U65" i="6"/>
  <c r="AL65" i="6" s="1"/>
  <c r="BD65" i="6" s="1"/>
  <c r="AQ65" i="9"/>
  <c r="V66" i="9"/>
  <c r="G24" i="7"/>
  <c r="U64" i="6"/>
  <c r="AN64" i="6"/>
  <c r="Y64" i="6"/>
  <c r="T64" i="6"/>
  <c r="AN63" i="6"/>
  <c r="Y63" i="6"/>
  <c r="U63" i="6"/>
  <c r="T63" i="6"/>
  <c r="T62" i="6"/>
  <c r="Y62" i="6"/>
  <c r="AS62" i="6" s="1"/>
  <c r="AN62" i="6"/>
  <c r="U62" i="6"/>
  <c r="AP62" i="6" s="1"/>
  <c r="Y61" i="6"/>
  <c r="AA66" i="6"/>
  <c r="AL60" i="6"/>
  <c r="BD60" i="6" s="1"/>
  <c r="AO60" i="6"/>
  <c r="V60" i="6"/>
  <c r="AQ60" i="6" s="1"/>
  <c r="W60" i="6"/>
  <c r="AR60" i="6" s="1"/>
  <c r="T61" i="6"/>
  <c r="U61" i="6"/>
  <c r="BF59" i="6"/>
  <c r="BG59" i="6" s="1"/>
  <c r="AS60" i="6"/>
  <c r="AN61" i="6"/>
  <c r="AL64" i="6" l="1"/>
  <c r="BD64" i="6" s="1"/>
  <c r="AN66" i="6"/>
  <c r="F6" i="7" s="1"/>
  <c r="BD65" i="9"/>
  <c r="BD66" i="9" s="1"/>
  <c r="AQ66" i="9"/>
  <c r="G19" i="7" s="1"/>
  <c r="V65" i="6"/>
  <c r="AQ65" i="6" s="1"/>
  <c r="W65" i="6"/>
  <c r="AP65" i="6"/>
  <c r="U66" i="6"/>
  <c r="W64" i="6"/>
  <c r="AR64" i="6" s="1"/>
  <c r="Y66" i="6"/>
  <c r="V64" i="6"/>
  <c r="AQ64" i="6" s="1"/>
  <c r="AO64" i="6"/>
  <c r="T66" i="6"/>
  <c r="AS64" i="6"/>
  <c r="AP64" i="6"/>
  <c r="AO63" i="6"/>
  <c r="AP63" i="6"/>
  <c r="AS63" i="6"/>
  <c r="V63" i="6"/>
  <c r="AL63" i="6"/>
  <c r="BD63" i="6" s="1"/>
  <c r="W63" i="6"/>
  <c r="V62" i="6"/>
  <c r="AQ62" i="6" s="1"/>
  <c r="AL62" i="6"/>
  <c r="BD62" i="6" s="1"/>
  <c r="W62" i="6"/>
  <c r="AR62" i="6" s="1"/>
  <c r="AO62" i="6"/>
  <c r="BA61" i="6"/>
  <c r="BA66" i="6" s="1"/>
  <c r="AL61" i="6"/>
  <c r="BD61" i="6" s="1"/>
  <c r="AP61" i="6"/>
  <c r="AO61" i="6"/>
  <c r="V61" i="6"/>
  <c r="W61" i="6"/>
  <c r="BF60" i="6"/>
  <c r="BG60" i="6" s="1"/>
  <c r="AS61" i="6"/>
  <c r="AO66" i="6" l="1"/>
  <c r="F16" i="7" s="1"/>
  <c r="AS66" i="6"/>
  <c r="F7" i="7" s="1"/>
  <c r="BD66" i="6"/>
  <c r="F22" i="7" s="1"/>
  <c r="AP66" i="6"/>
  <c r="G17" i="7" s="1"/>
  <c r="G23" i="7" s="1"/>
  <c r="V66" i="6"/>
  <c r="AR65" i="6"/>
  <c r="W66" i="6"/>
  <c r="BF64" i="6"/>
  <c r="AQ63" i="6"/>
  <c r="AR63" i="6"/>
  <c r="BF62" i="6"/>
  <c r="BG62" i="6" s="1"/>
  <c r="F14" i="7"/>
  <c r="AQ61" i="6"/>
  <c r="AR61" i="6"/>
  <c r="AQ66" i="6" l="1"/>
  <c r="F18" i="7" s="1"/>
  <c r="BF65" i="6"/>
  <c r="BG65" i="6" s="1"/>
  <c r="AR66" i="6"/>
  <c r="F19" i="7" s="1"/>
  <c r="F17" i="7"/>
  <c r="L19" i="7"/>
  <c r="G26" i="7"/>
  <c r="BG64" i="6"/>
  <c r="BF63" i="6"/>
  <c r="BF61" i="6"/>
  <c r="BF66" i="6" l="1"/>
  <c r="L21" i="7"/>
  <c r="L20" i="7"/>
  <c r="BG63" i="6"/>
  <c r="F23" i="7"/>
  <c r="BG61" i="6"/>
  <c r="BG66" i="6" l="1"/>
  <c r="F24" i="7" s="1"/>
  <c r="F26" i="7" s="1"/>
  <c r="L22" i="7"/>
  <c r="G25" i="7" s="1"/>
  <c r="G29" i="7" s="1"/>
  <c r="J19" i="7" l="1"/>
  <c r="J21" i="7" s="1"/>
  <c r="J20" i="7" l="1"/>
  <c r="J22" i="7" s="1"/>
  <c r="F25" i="7" s="1"/>
  <c r="F29" i="7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A6" authorId="0" shapeId="0" xr:uid="{74558671-9B18-486B-8183-1F62601C02D1}">
      <text>
        <r>
          <rPr>
            <sz val="9"/>
            <color indexed="81"/>
            <rFont val="Tahoma"/>
            <family val="2"/>
          </rPr>
          <t xml:space="preserve">Poner la fecha efectiva de su ingreso, si fue tercerizado, poner la de la primera tercerizadora
</t>
        </r>
      </text>
    </comment>
    <comment ref="B8" authorId="0" shapeId="0" xr:uid="{78C51AFC-0FE5-46A1-B03D-53C23E570B2F}">
      <text>
        <r>
          <rPr>
            <sz val="9"/>
            <color indexed="81"/>
            <rFont val="Tahoma"/>
            <family val="2"/>
          </rPr>
          <t>Si las cargas han variado entre 2018 y 2022 mejor modificar manualmente la fórmula en la columna respectiva en la hoja Detalle</t>
        </r>
      </text>
    </comment>
    <comment ref="P14" authorId="0" shapeId="0" xr:uid="{C48B8256-188A-4F0F-9843-52B5CD33C602}">
      <text>
        <r>
          <rPr>
            <b/>
            <sz val="9"/>
            <color indexed="81"/>
            <rFont val="Tahoma"/>
            <family val="2"/>
          </rPr>
          <t>Tasa activa referencial BCE enero 2023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31" authorId="0" shapeId="0" xr:uid="{031A9A3D-199F-4281-8A94-7F9279E02381}">
      <text>
        <r>
          <rPr>
            <b/>
            <sz val="9"/>
            <color indexed="81"/>
            <rFont val="Tahoma"/>
            <family val="2"/>
          </rPr>
          <t>En base a la cuota de retroactivo del 1 de marzo 2023</t>
        </r>
      </text>
    </comment>
    <comment ref="G32" authorId="0" shapeId="0" xr:uid="{81948DE4-3EF6-4790-8851-F9422AF6B84E}">
      <text>
        <r>
          <rPr>
            <b/>
            <sz val="9"/>
            <color indexed="81"/>
            <rFont val="Tahoma"/>
            <family val="2"/>
          </rPr>
          <t>Establecer correctamente el régimen (B14) y llenar y el valor del retroactivo de marzo de 2023 (K32 o P34 según sea el caso) para el cálculo</t>
        </r>
      </text>
    </comment>
    <comment ref="K32" authorId="0" shapeId="0" xr:uid="{4FC5DC82-32AB-4DE2-AF4E-09BF8C6C2B5A}">
      <text>
        <r>
          <rPr>
            <b/>
            <sz val="9"/>
            <color indexed="81"/>
            <rFont val="Tahoma"/>
            <family val="2"/>
          </rPr>
          <t>Si eras o eres LOEP, ingresa aquí el pago de retroactivo de marzo 2023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P34" authorId="0" shapeId="0" xr:uid="{2D267EB7-2564-4615-AFEA-8C2FB582815B}">
      <text>
        <r>
          <rPr>
            <b/>
            <sz val="9"/>
            <color indexed="81"/>
            <rFont val="Tahoma"/>
            <family val="2"/>
          </rPr>
          <t>Si siempre fuiste de Código de Trabajo ingresa aquí el pago de retroactivo de marzo 2023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C2" authorId="0" shapeId="0" xr:uid="{F22C9B39-0473-4A5F-8A31-22220B1F2EA9}">
      <text>
        <r>
          <rPr>
            <sz val="9"/>
            <color indexed="81"/>
            <rFont val="Tahoma"/>
            <family val="2"/>
          </rPr>
          <t>Ingrese la cantidad de Horas Suplementarias</t>
        </r>
      </text>
    </comment>
    <comment ref="D2" authorId="0" shapeId="0" xr:uid="{454CF20A-8E7D-4AA1-B4A3-E54B6FDC7226}">
      <text>
        <r>
          <rPr>
            <b/>
            <sz val="9"/>
            <color indexed="81"/>
            <rFont val="Tahoma"/>
            <family val="2"/>
          </rPr>
          <t>Ingrese la cantidad de horas extraordinarias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H2" authorId="0" shapeId="0" xr:uid="{B4B0792E-03C3-4D9F-82E9-BE694796AD4A}">
      <text>
        <r>
          <rPr>
            <sz val="9"/>
            <color indexed="81"/>
            <rFont val="Tahoma"/>
            <family val="2"/>
          </rPr>
          <t>No se ha determinado</t>
        </r>
      </text>
    </comment>
    <comment ref="AJ2" authorId="0" shapeId="0" xr:uid="{DD522F75-D3E7-4E43-A7B7-E7A1650853C8}">
      <text>
        <r>
          <rPr>
            <b/>
            <sz val="9"/>
            <color indexed="81"/>
            <rFont val="Tahoma"/>
            <family val="2"/>
          </rPr>
          <t>Asumiendo que el trabajador en el transcurso del año tomó todos los días de vacaciones que le correspondían en ese período</t>
        </r>
      </text>
    </comment>
    <comment ref="O59" authorId="0" shapeId="0" xr:uid="{C8CD92C2-CDF2-48D2-A90A-8193C4F8E441}">
      <text>
        <r>
          <rPr>
            <sz val="9"/>
            <color indexed="81"/>
            <rFont val="Tahoma"/>
            <family val="2"/>
          </rPr>
          <t xml:space="preserve">Desde esta fecha CNEL empezó a pagar transporte, pero está pagando $ 0,50 por día trabajado en vez de los $60 mensuales acordados en el Obrero-Patronal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AG2" authorId="0" shapeId="0" xr:uid="{633DAB84-F0E6-4F79-8A67-9DA07E0991D3}">
      <text>
        <r>
          <rPr>
            <sz val="9"/>
            <color indexed="81"/>
            <rFont val="Tahoma"/>
            <family val="2"/>
          </rPr>
          <t>No se ha determinado</t>
        </r>
      </text>
    </comment>
    <comment ref="AI2" authorId="0" shapeId="0" xr:uid="{20EEB841-396B-46AD-9580-10542F24879D}">
      <text>
        <r>
          <rPr>
            <b/>
            <sz val="9"/>
            <color indexed="81"/>
            <rFont val="Tahoma"/>
            <family val="2"/>
          </rPr>
          <t>Asumiendo que el trabajador en el transcurso del año tomó todos los días de vacaciones que le correspondían en ese período</t>
        </r>
      </text>
    </comment>
    <comment ref="O59" authorId="0" shapeId="0" xr:uid="{2F127C26-F0F7-4AC9-84BC-8BD481DF705F}">
      <text>
        <r>
          <rPr>
            <sz val="9"/>
            <color indexed="81"/>
            <rFont val="Tahoma"/>
            <family val="2"/>
          </rPr>
          <t xml:space="preserve">Desde esta fecha CNEL empezó a pagar transporte, pero está pagando $ 0,50 por día trabajado en vez de los $60 mensuales acordados en el Obrero-Patronal
</t>
        </r>
      </text>
    </comment>
  </commentList>
</comments>
</file>

<file path=xl/sharedStrings.xml><?xml version="1.0" encoding="utf-8"?>
<sst xmlns="http://schemas.openxmlformats.org/spreadsheetml/2006/main" count="217" uniqueCount="111">
  <si>
    <t>RMU</t>
  </si>
  <si>
    <t>Comisariato</t>
  </si>
  <si>
    <t>Antigüedad</t>
  </si>
  <si>
    <t>Familiar</t>
  </si>
  <si>
    <t>Aguinaldo</t>
  </si>
  <si>
    <t>Canasta</t>
  </si>
  <si>
    <t>1er</t>
  </si>
  <si>
    <t>2do</t>
  </si>
  <si>
    <t>3er</t>
  </si>
  <si>
    <t>4to</t>
  </si>
  <si>
    <t>5to</t>
  </si>
  <si>
    <t>6to</t>
  </si>
  <si>
    <t>Ingreso</t>
  </si>
  <si>
    <t>Tasa Interés</t>
  </si>
  <si>
    <t>Interés</t>
  </si>
  <si>
    <t>Suma</t>
  </si>
  <si>
    <t>48 Familiar</t>
  </si>
  <si>
    <t>49 Antigüedad</t>
  </si>
  <si>
    <t>50 Comisariato</t>
  </si>
  <si>
    <t>53 Reconocimiento x años de servicio</t>
  </si>
  <si>
    <t>54 Guardería</t>
  </si>
  <si>
    <t>55 Aguinaldo</t>
  </si>
  <si>
    <t>55 Canasta</t>
  </si>
  <si>
    <t>57 Ayuda en caso de fallecimiento</t>
  </si>
  <si>
    <t>19 Doble función</t>
  </si>
  <si>
    <t>33 Uniformes</t>
  </si>
  <si>
    <t>39 Ajuste RMU</t>
  </si>
  <si>
    <t>46 RVE</t>
  </si>
  <si>
    <t>66 Bonos vacacionales</t>
  </si>
  <si>
    <t>67 Transporte</t>
  </si>
  <si>
    <t>Mes</t>
  </si>
  <si>
    <t>35 Servicio médico y dental</t>
  </si>
  <si>
    <t>RMU 2017</t>
  </si>
  <si>
    <t>Cargas familiares</t>
  </si>
  <si>
    <t>No</t>
  </si>
  <si>
    <t>Trabajo</t>
  </si>
  <si>
    <t>Género</t>
  </si>
  <si>
    <t>Oficina</t>
  </si>
  <si>
    <t>HE</t>
  </si>
  <si>
    <t>HS</t>
  </si>
  <si>
    <t>13ro</t>
  </si>
  <si>
    <t>FR</t>
  </si>
  <si>
    <t>VALORES QUE SE DEBEN PAGAR</t>
  </si>
  <si>
    <t>VALORES PAGADOS</t>
  </si>
  <si>
    <t>Doble función</t>
  </si>
  <si>
    <t>Transporte</t>
  </si>
  <si>
    <t>Aporte IESS</t>
  </si>
  <si>
    <t>Rotativo/Guardia</t>
  </si>
  <si>
    <t>Régimen</t>
  </si>
  <si>
    <t>Era LOEP cambió a Código</t>
  </si>
  <si>
    <t>Reconocimiento años</t>
  </si>
  <si>
    <t>Guardería</t>
  </si>
  <si>
    <t>Ajuste RMU</t>
  </si>
  <si>
    <t>Cant. HS</t>
  </si>
  <si>
    <t>Cant. HE</t>
  </si>
  <si>
    <t>Descuento Comité</t>
  </si>
  <si>
    <t>Total</t>
  </si>
  <si>
    <t>Estimado a recibir</t>
  </si>
  <si>
    <t>Impuesto a la Renta</t>
  </si>
  <si>
    <t>Valor ya pagado</t>
  </si>
  <si>
    <t>Hace doble función</t>
  </si>
  <si>
    <t>Fracción básica</t>
  </si>
  <si>
    <t>Exceso hasta</t>
  </si>
  <si>
    <t>Impuesto sobre FB</t>
  </si>
  <si>
    <t>Impuesto sobre excedente</t>
  </si>
  <si>
    <t>F. básica</t>
  </si>
  <si>
    <t>Intereses</t>
  </si>
  <si>
    <t>Descuento comité ya realizado</t>
  </si>
  <si>
    <t>Pagos anticipo retroactivo LOEP</t>
  </si>
  <si>
    <t>Fecha nacimiento</t>
  </si>
  <si>
    <t>Hijos en edad de guardería</t>
  </si>
  <si>
    <t>Hijo 1</t>
  </si>
  <si>
    <t>Hijo 2</t>
  </si>
  <si>
    <t>DIFERENCIA</t>
  </si>
  <si>
    <t>Bonos vacacionales</t>
  </si>
  <si>
    <t>IR base</t>
  </si>
  <si>
    <t>IR excendente</t>
  </si>
  <si>
    <t>IR causado</t>
  </si>
  <si>
    <t>Fue tercerizado</t>
  </si>
  <si>
    <t>Familiar 1</t>
  </si>
  <si>
    <t>Familiar 2</t>
  </si>
  <si>
    <t>Pagos anticipo retroactivo CT</t>
  </si>
  <si>
    <t>7mo</t>
  </si>
  <si>
    <t>8vo</t>
  </si>
  <si>
    <t>1ro</t>
  </si>
  <si>
    <t>Familiares fallecidos desde 2018</t>
  </si>
  <si>
    <t>RESUMEN</t>
  </si>
  <si>
    <t>Masculino</t>
  </si>
  <si>
    <t>¿Tiene expreso?</t>
  </si>
  <si>
    <t>INGRESO DE DATOS</t>
  </si>
  <si>
    <t>DATOS AUXILIARES</t>
  </si>
  <si>
    <t>Fecha fallecimiento</t>
  </si>
  <si>
    <t>Calculadora de valores retroactivos del 1er contrato colectivo</t>
  </si>
  <si>
    <r>
      <rPr>
        <sz val="11"/>
        <color theme="2" tint="-0.34998626667073579"/>
        <rFont val="Calibri"/>
        <family val="2"/>
        <scheme val="minor"/>
      </rPr>
      <t>Ingresa tus datos en celdas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4" tint="0.59999389629810485"/>
        <rFont val="Calibri"/>
        <family val="2"/>
        <scheme val="minor"/>
      </rPr>
      <t>celestes</t>
    </r>
  </si>
  <si>
    <t>Mira aquí los resultados</t>
  </si>
  <si>
    <t>No toques estos datos</t>
  </si>
  <si>
    <t>https://aecneloep.org</t>
  </si>
  <si>
    <r>
      <t xml:space="preserve">¿Quieres aportar con mejoras, correcciones, comentarios? Escríbenos a </t>
    </r>
    <r>
      <rPr>
        <b/>
        <sz val="9"/>
        <color theme="4" tint="-0.499984740745262"/>
        <rFont val="Calibri"/>
        <family val="2"/>
        <scheme val="minor"/>
      </rPr>
      <t>info@aecneloep.org</t>
    </r>
  </si>
  <si>
    <t>Tabla Impuesto a la Renta 2023</t>
  </si>
  <si>
    <t>Salario Básico Unificado SBU</t>
  </si>
  <si>
    <t>Esta calculadora es proporcionada por la Asociación de Empleados de CNEL EP, tal cual se presenta, y sirve como referencia con fines informativos. Los valores que resulten de esta calculadora se consideran aproximados y de ninguna forma son definitivos. En algunos casos se requerirá, para mejorar su precisión, el ingreso adicional de información en la hoja de detalles, como cantidades de horas exta realizadas y otros. Estos cálculos son producto del análisis realizado del 1er Contrato Colectivo, los comités Obreros Patronales y la normativa vigente.</t>
  </si>
  <si>
    <t>Sí</t>
  </si>
  <si>
    <t>Según CNEL</t>
  </si>
  <si>
    <t>Según CC</t>
  </si>
  <si>
    <t>Servicio médico y dental</t>
  </si>
  <si>
    <t>Servicio méidco y dental</t>
  </si>
  <si>
    <t>9no</t>
  </si>
  <si>
    <t>retro pagado</t>
  </si>
  <si>
    <t>% abogados comité</t>
  </si>
  <si>
    <t>fecha</t>
  </si>
  <si>
    <t>Según CNEL te adeudaría: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</si>
</sst>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6" formatCode="&quot;$&quot;#,##0;[Red]&quot;$&quot;\-#,##0"/>
    <numFmt numFmtId="8" formatCode="&quot;$&quot;#,##0.00;[Red]&quot;$&quot;\-#,##0.00"/>
    <numFmt numFmtId="44" formatCode="_ &quot;$&quot;* #,##0.00_ ;_ &quot;$&quot;* \-#,##0.00_ ;_ &quot;$&quot;* &quot;-&quot;??_ ;_ @_ "/>
    <numFmt numFmtId="164" formatCode="dd/mm/yy"/>
    <numFmt numFmtId="165" formatCode="&quot;$&quot;#,##0.00_);[Red]\(&quot;$&quot;#,##0.00\)"/>
    <numFmt numFmtId="166" formatCode="_ &quot;$&quot;* #,##0_ ;_ &quot;$&quot;* \-#,##0_ ;_ &quot;$&quot;* &quot;-&quot;??_ ;_ @_ "/>
    <numFmt numFmtId="167" formatCode="_ [$$-300A]* #,##0.00_ ;_ [$$-300A]* \-#,##0.00_ ;_ [$$-300A]* &quot;-&quot;??_ ;_ @_ "/>
  </numFmts>
  <fonts count="29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2"/>
      <color theme="4" tint="-0.499984740745262"/>
      <name val="Calibri"/>
      <family val="2"/>
      <scheme val="minor"/>
    </font>
    <font>
      <b/>
      <sz val="11"/>
      <color theme="4" tint="0.59999389629810485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z val="11"/>
      <color theme="2" tint="-0.34998626667073579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color theme="2" tint="-0.34998626667073579"/>
      <name val="Calibri"/>
      <family val="2"/>
      <scheme val="minor"/>
    </font>
    <font>
      <b/>
      <sz val="9"/>
      <color theme="4" tint="-0.499984740745262"/>
      <name val="Calibri"/>
      <family val="2"/>
      <scheme val="minor"/>
    </font>
    <font>
      <u/>
      <sz val="9"/>
      <color theme="4" tint="-0.499984740745262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5"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</borders>
  <cellStyleXfs count="4">
    <xf numFmtId="0" fontId="0" fillId="0" borderId="0"/>
    <xf numFmtId="44" fontId="12" fillId="0" borderId="0" applyFont="0" applyFill="0" applyBorder="0" applyAlignment="0" applyProtection="0"/>
    <xf numFmtId="0" fontId="6" fillId="0" borderId="1"/>
    <xf numFmtId="0" fontId="25" fillId="0" borderId="0" applyNumberFormat="0" applyFill="0" applyBorder="0" applyAlignment="0" applyProtection="0"/>
  </cellStyleXfs>
  <cellXfs count="107">
    <xf numFmtId="0" fontId="0" fillId="0" borderId="0" xfId="0"/>
    <xf numFmtId="44" fontId="8" fillId="0" borderId="0" xfId="1" applyFont="1"/>
    <xf numFmtId="0" fontId="7" fillId="0" borderId="0" xfId="0" applyFont="1"/>
    <xf numFmtId="6" fontId="0" fillId="0" borderId="0" xfId="0" applyNumberFormat="1"/>
    <xf numFmtId="8" fontId="0" fillId="0" borderId="0" xfId="0" applyNumberFormat="1"/>
    <xf numFmtId="44" fontId="8" fillId="0" borderId="0" xfId="1" applyFont="1" applyAlignment="1"/>
    <xf numFmtId="44" fontId="0" fillId="0" borderId="0" xfId="0" applyNumberFormat="1"/>
    <xf numFmtId="17" fontId="14" fillId="2" borderId="0" xfId="0" applyNumberFormat="1" applyFont="1" applyFill="1"/>
    <xf numFmtId="0" fontId="6" fillId="0" borderId="0" xfId="0" applyFont="1"/>
    <xf numFmtId="6" fontId="0" fillId="3" borderId="0" xfId="0" applyNumberFormat="1" applyFill="1"/>
    <xf numFmtId="6" fontId="15" fillId="0" borderId="0" xfId="0" applyNumberFormat="1" applyFont="1"/>
    <xf numFmtId="8" fontId="15" fillId="0" borderId="0" xfId="0" applyNumberFormat="1" applyFont="1"/>
    <xf numFmtId="0" fontId="15" fillId="0" borderId="0" xfId="0" applyFont="1"/>
    <xf numFmtId="44" fontId="15" fillId="0" borderId="0" xfId="0" applyNumberFormat="1" applyFont="1"/>
    <xf numFmtId="0" fontId="0" fillId="0" borderId="1" xfId="0" applyBorder="1" applyAlignment="1">
      <alignment horizontal="center"/>
    </xf>
    <xf numFmtId="0" fontId="10" fillId="4" borderId="0" xfId="0" applyFont="1" applyFill="1"/>
    <xf numFmtId="0" fontId="10" fillId="0" borderId="0" xfId="0" applyFont="1"/>
    <xf numFmtId="164" fontId="6" fillId="0" borderId="1" xfId="2" applyNumberFormat="1"/>
    <xf numFmtId="8" fontId="6" fillId="0" borderId="1" xfId="2" applyNumberFormat="1"/>
    <xf numFmtId="44" fontId="8" fillId="0" borderId="0" xfId="1" applyFont="1" applyFill="1"/>
    <xf numFmtId="0" fontId="5" fillId="0" borderId="0" xfId="0" applyFont="1"/>
    <xf numFmtId="17" fontId="14" fillId="0" borderId="0" xfId="0" applyNumberFormat="1" applyFont="1"/>
    <xf numFmtId="0" fontId="10" fillId="6" borderId="0" xfId="0" applyFont="1" applyFill="1" applyAlignment="1">
      <alignment horizontal="center"/>
    </xf>
    <xf numFmtId="0" fontId="10" fillId="6" borderId="0" xfId="0" applyFont="1" applyFill="1"/>
    <xf numFmtId="0" fontId="10" fillId="7" borderId="0" xfId="0" applyFont="1" applyFill="1"/>
    <xf numFmtId="0" fontId="10" fillId="7" borderId="0" xfId="0" applyFont="1" applyFill="1" applyAlignment="1">
      <alignment horizontal="center"/>
    </xf>
    <xf numFmtId="0" fontId="10" fillId="9" borderId="1" xfId="0" applyFont="1" applyFill="1" applyBorder="1" applyAlignment="1">
      <alignment horizontal="center"/>
    </xf>
    <xf numFmtId="0" fontId="10" fillId="12" borderId="0" xfId="0" applyFont="1" applyFill="1"/>
    <xf numFmtId="0" fontId="10" fillId="12" borderId="0" xfId="0" applyFont="1" applyFill="1" applyAlignment="1">
      <alignment horizontal="center"/>
    </xf>
    <xf numFmtId="44" fontId="8" fillId="5" borderId="0" xfId="1" applyFont="1" applyFill="1"/>
    <xf numFmtId="0" fontId="9" fillId="13" borderId="0" xfId="0" applyFont="1" applyFill="1"/>
    <xf numFmtId="6" fontId="0" fillId="13" borderId="0" xfId="0" applyNumberFormat="1" applyFill="1"/>
    <xf numFmtId="6" fontId="15" fillId="13" borderId="0" xfId="0" applyNumberFormat="1" applyFont="1" applyFill="1"/>
    <xf numFmtId="0" fontId="15" fillId="13" borderId="0" xfId="0" applyFont="1" applyFill="1"/>
    <xf numFmtId="6" fontId="19" fillId="13" borderId="0" xfId="0" applyNumberFormat="1" applyFont="1" applyFill="1"/>
    <xf numFmtId="0" fontId="4" fillId="0" borderId="0" xfId="0" applyFont="1"/>
    <xf numFmtId="0" fontId="13" fillId="0" borderId="1" xfId="0" applyFont="1" applyBorder="1" applyAlignment="1">
      <alignment vertical="center"/>
    </xf>
    <xf numFmtId="10" fontId="0" fillId="0" borderId="0" xfId="0" applyNumberFormat="1"/>
    <xf numFmtId="0" fontId="0" fillId="14" borderId="0" xfId="0" applyFill="1"/>
    <xf numFmtId="0" fontId="6" fillId="14" borderId="0" xfId="0" applyFont="1" applyFill="1"/>
    <xf numFmtId="6" fontId="0" fillId="14" borderId="0" xfId="0" applyNumberFormat="1" applyFill="1"/>
    <xf numFmtId="0" fontId="5" fillId="14" borderId="0" xfId="0" applyFont="1" applyFill="1"/>
    <xf numFmtId="0" fontId="0" fillId="15" borderId="3" xfId="0" applyFill="1" applyBorder="1"/>
    <xf numFmtId="6" fontId="0" fillId="15" borderId="3" xfId="0" applyNumberFormat="1" applyFill="1" applyBorder="1"/>
    <xf numFmtId="0" fontId="11" fillId="16" borderId="1" xfId="0" applyFont="1" applyFill="1" applyBorder="1"/>
    <xf numFmtId="0" fontId="0" fillId="16" borderId="0" xfId="0" applyFill="1"/>
    <xf numFmtId="164" fontId="0" fillId="16" borderId="1" xfId="0" applyNumberFormat="1" applyFill="1" applyBorder="1"/>
    <xf numFmtId="165" fontId="0" fillId="16" borderId="1" xfId="0" applyNumberFormat="1" applyFill="1" applyBorder="1"/>
    <xf numFmtId="10" fontId="0" fillId="17" borderId="0" xfId="0" applyNumberFormat="1" applyFill="1"/>
    <xf numFmtId="0" fontId="15" fillId="17" borderId="0" xfId="0" applyFont="1" applyFill="1"/>
    <xf numFmtId="0" fontId="18" fillId="14" borderId="3" xfId="0" applyFont="1" applyFill="1" applyBorder="1"/>
    <xf numFmtId="166" fontId="0" fillId="14" borderId="3" xfId="1" applyNumberFormat="1" applyFont="1" applyFill="1" applyBorder="1" applyAlignment="1"/>
    <xf numFmtId="44" fontId="0" fillId="14" borderId="3" xfId="1" applyFont="1" applyFill="1" applyBorder="1" applyAlignment="1"/>
    <xf numFmtId="0" fontId="0" fillId="14" borderId="3" xfId="0" applyFill="1" applyBorder="1"/>
    <xf numFmtId="9" fontId="0" fillId="14" borderId="3" xfId="0" applyNumberFormat="1" applyFill="1" applyBorder="1"/>
    <xf numFmtId="165" fontId="15" fillId="16" borderId="0" xfId="0" applyNumberFormat="1" applyFont="1" applyFill="1"/>
    <xf numFmtId="0" fontId="20" fillId="10" borderId="0" xfId="0" applyFont="1" applyFill="1" applyAlignment="1">
      <alignment horizontal="center"/>
    </xf>
    <xf numFmtId="0" fontId="3" fillId="0" borderId="0" xfId="0" applyFont="1"/>
    <xf numFmtId="0" fontId="0" fillId="18" borderId="0" xfId="0" applyFill="1" applyAlignment="1">
      <alignment horizontal="center"/>
    </xf>
    <xf numFmtId="0" fontId="0" fillId="18" borderId="1" xfId="0" applyFill="1" applyBorder="1"/>
    <xf numFmtId="0" fontId="24" fillId="18" borderId="1" xfId="0" applyFont="1" applyFill="1" applyBorder="1" applyAlignment="1">
      <alignment horizontal="center"/>
    </xf>
    <xf numFmtId="0" fontId="0" fillId="18" borderId="0" xfId="0" applyFill="1"/>
    <xf numFmtId="0" fontId="28" fillId="18" borderId="0" xfId="3" applyFont="1" applyFill="1" applyAlignment="1">
      <alignment horizontal="center" vertical="center"/>
    </xf>
    <xf numFmtId="0" fontId="24" fillId="18" borderId="1" xfId="0" applyFont="1" applyFill="1" applyBorder="1"/>
    <xf numFmtId="0" fontId="0" fillId="19" borderId="0" xfId="0" applyFill="1"/>
    <xf numFmtId="0" fontId="11" fillId="19" borderId="1" xfId="0" applyFont="1" applyFill="1" applyBorder="1" applyAlignment="1">
      <alignment horizontal="right"/>
    </xf>
    <xf numFmtId="164" fontId="0" fillId="19" borderId="1" xfId="0" applyNumberFormat="1" applyFill="1" applyBorder="1"/>
    <xf numFmtId="165" fontId="0" fillId="19" borderId="1" xfId="0" applyNumberFormat="1" applyFill="1" applyBorder="1"/>
    <xf numFmtId="14" fontId="0" fillId="19" borderId="0" xfId="0" applyNumberFormat="1" applyFill="1"/>
    <xf numFmtId="165" fontId="15" fillId="19" borderId="0" xfId="0" applyNumberFormat="1" applyFont="1" applyFill="1"/>
    <xf numFmtId="0" fontId="0" fillId="5" borderId="4" xfId="0" applyFill="1" applyBorder="1"/>
    <xf numFmtId="14" fontId="0" fillId="5" borderId="4" xfId="0" applyNumberFormat="1" applyFill="1" applyBorder="1"/>
    <xf numFmtId="165" fontId="0" fillId="5" borderId="4" xfId="0" applyNumberFormat="1" applyFill="1" applyBorder="1"/>
    <xf numFmtId="0" fontId="15" fillId="19" borderId="0" xfId="0" applyFont="1" applyFill="1" applyAlignment="1">
      <alignment horizontal="center"/>
    </xf>
    <xf numFmtId="0" fontId="15" fillId="16" borderId="0" xfId="0" applyFont="1" applyFill="1" applyAlignment="1">
      <alignment horizontal="center"/>
    </xf>
    <xf numFmtId="44" fontId="0" fillId="13" borderId="0" xfId="0" applyNumberFormat="1" applyFill="1"/>
    <xf numFmtId="0" fontId="8" fillId="0" borderId="0" xfId="0" applyFont="1"/>
    <xf numFmtId="0" fontId="8" fillId="5" borderId="4" xfId="0" applyFont="1" applyFill="1" applyBorder="1"/>
    <xf numFmtId="0" fontId="8" fillId="5" borderId="4" xfId="0" applyFont="1" applyFill="1" applyBorder="1" applyAlignment="1">
      <alignment horizontal="right" vertical="center"/>
    </xf>
    <xf numFmtId="2" fontId="8" fillId="5" borderId="4" xfId="0" applyNumberFormat="1" applyFont="1" applyFill="1" applyBorder="1"/>
    <xf numFmtId="8" fontId="2" fillId="0" borderId="0" xfId="0" applyNumberFormat="1" applyFont="1"/>
    <xf numFmtId="0" fontId="0" fillId="13" borderId="0" xfId="0" applyFill="1"/>
    <xf numFmtId="44" fontId="0" fillId="13" borderId="0" xfId="1" applyFont="1" applyFill="1"/>
    <xf numFmtId="0" fontId="2" fillId="13" borderId="0" xfId="0" applyFont="1" applyFill="1" applyAlignment="1">
      <alignment horizontal="center"/>
    </xf>
    <xf numFmtId="0" fontId="0" fillId="13" borderId="0" xfId="0" applyFill="1" applyAlignment="1">
      <alignment horizontal="center"/>
    </xf>
    <xf numFmtId="0" fontId="21" fillId="18" borderId="0" xfId="0" applyFont="1" applyFill="1" applyAlignment="1">
      <alignment horizontal="center" vertical="center"/>
    </xf>
    <xf numFmtId="0" fontId="3" fillId="15" borderId="3" xfId="0" applyFont="1" applyFill="1" applyBorder="1" applyAlignment="1">
      <alignment horizontal="center"/>
    </xf>
    <xf numFmtId="0" fontId="0" fillId="15" borderId="3" xfId="0" applyFill="1" applyBorder="1" applyAlignment="1">
      <alignment horizontal="center"/>
    </xf>
    <xf numFmtId="0" fontId="15" fillId="14" borderId="0" xfId="0" applyFont="1" applyFill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14" fontId="0" fillId="5" borderId="4" xfId="0" applyNumberFormat="1" applyFill="1" applyBorder="1" applyAlignment="1">
      <alignment horizontal="center"/>
    </xf>
    <xf numFmtId="0" fontId="0" fillId="5" borderId="4" xfId="0" applyFill="1" applyBorder="1" applyAlignment="1">
      <alignment horizontal="center"/>
    </xf>
    <xf numFmtId="0" fontId="15" fillId="19" borderId="1" xfId="0" applyFont="1" applyFill="1" applyBorder="1" applyAlignment="1">
      <alignment horizontal="center"/>
    </xf>
    <xf numFmtId="0" fontId="15" fillId="16" borderId="1" xfId="0" applyFont="1" applyFill="1" applyBorder="1" applyAlignment="1">
      <alignment horizontal="center"/>
    </xf>
    <xf numFmtId="0" fontId="20" fillId="10" borderId="0" xfId="0" applyFont="1" applyFill="1" applyAlignment="1">
      <alignment horizontal="center"/>
    </xf>
    <xf numFmtId="0" fontId="26" fillId="18" borderId="2" xfId="0" applyFont="1" applyFill="1" applyBorder="1" applyAlignment="1">
      <alignment horizontal="center" vertical="center" wrapText="1"/>
    </xf>
    <xf numFmtId="0" fontId="3" fillId="18" borderId="1" xfId="0" applyFont="1" applyFill="1" applyBorder="1" applyAlignment="1">
      <alignment horizontal="center"/>
    </xf>
    <xf numFmtId="0" fontId="0" fillId="18" borderId="1" xfId="0" applyFill="1" applyBorder="1" applyAlignment="1">
      <alignment horizontal="center"/>
    </xf>
    <xf numFmtId="0" fontId="23" fillId="18" borderId="1" xfId="0" applyFont="1" applyFill="1" applyBorder="1" applyAlignment="1">
      <alignment horizontal="center"/>
    </xf>
    <xf numFmtId="0" fontId="28" fillId="18" borderId="0" xfId="3" applyFont="1" applyFill="1" applyAlignment="1">
      <alignment horizontal="center" vertical="center"/>
    </xf>
    <xf numFmtId="0" fontId="11" fillId="18" borderId="0" xfId="0" applyFont="1" applyFill="1" applyAlignment="1">
      <alignment horizontal="center" vertical="center"/>
    </xf>
    <xf numFmtId="0" fontId="6" fillId="5" borderId="4" xfId="0" applyFont="1" applyFill="1" applyBorder="1" applyAlignment="1">
      <alignment horizontal="center"/>
    </xf>
    <xf numFmtId="167" fontId="0" fillId="5" borderId="4" xfId="1" applyNumberFormat="1" applyFont="1" applyFill="1" applyBorder="1" applyAlignment="1">
      <alignment horizontal="center" vertical="center"/>
    </xf>
    <xf numFmtId="0" fontId="10" fillId="9" borderId="1" xfId="0" applyFont="1" applyFill="1" applyBorder="1" applyAlignment="1">
      <alignment horizontal="center"/>
    </xf>
    <xf numFmtId="0" fontId="10" fillId="11" borderId="0" xfId="0" applyFont="1" applyFill="1" applyAlignment="1">
      <alignment horizontal="center"/>
    </xf>
    <xf numFmtId="0" fontId="10" fillId="8" borderId="0" xfId="0" applyFont="1" applyFill="1" applyAlignment="1">
      <alignment horizontal="center"/>
    </xf>
  </cellXfs>
  <cellStyles count="4">
    <cellStyle name="Hipervínculo" xfId="3" builtinId="8"/>
    <cellStyle name="Moneda" xfId="1" builtinId="4"/>
    <cellStyle name="Normal" xfId="0" builtinId="0"/>
    <cellStyle name="Normal 2" xfId="2" xr:uid="{65D08999-7D16-4879-AB1B-FB278431DF6C}"/>
  </cellStyles>
  <dxfs count="12"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theme="4"/>
          <bgColor theme="4"/>
        </patternFill>
      </fill>
    </dxf>
  </dxfs>
  <tableStyles count="3" defaultTableStyle="TableStyleMedium2" defaultPivotStyle="PivotStyleLight16">
    <tableStyle name="Subsidios CNEL-style" pivot="0" count="4" xr9:uid="{00000000-0011-0000-FFFF-FFFF00000000}">
      <tableStyleElement type="headerRow" dxfId="11"/>
      <tableStyleElement type="totalRow" dxfId="10"/>
      <tableStyleElement type="firstRowStripe" dxfId="9"/>
      <tableStyleElement type="secondRowStripe" dxfId="8"/>
    </tableStyle>
    <tableStyle name="Subsidios CNEL-style 2" pivot="0" count="4" xr9:uid="{00000000-0011-0000-FFFF-FFFF01000000}">
      <tableStyleElement type="headerRow" dxfId="7"/>
      <tableStyleElement type="totalRow" dxfId="6"/>
      <tableStyleElement type="firstRowStripe" dxfId="5"/>
      <tableStyleElement type="secondRowStripe" dxfId="4"/>
    </tableStyle>
    <tableStyle name="Subsidios CNEL-style 3" pivot="0" count="4" xr9:uid="{00000000-0011-0000-FFFF-FFFF02000000}">
      <tableStyleElement type="headerRow" dxfId="3"/>
      <tableStyleElement type="totalRow" dxfId="2"/>
      <tableStyleElement type="firstRowStripe" dxfId="1"/>
      <tableStyleElement type="secondRowStripe" dxfId="0"/>
    </tableStyle>
  </tableStyles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57150</xdr:rowOff>
    </xdr:from>
    <xdr:to>
      <xdr:col>0</xdr:col>
      <xdr:colOff>1228725</xdr:colOff>
      <xdr:row>2</xdr:row>
      <xdr:rowOff>171450</xdr:rowOff>
    </xdr:to>
    <xdr:pic>
      <xdr:nvPicPr>
        <xdr:cNvPr id="3" name="Gráfico 2">
          <a:extLst>
            <a:ext uri="{FF2B5EF4-FFF2-40B4-BE49-F238E27FC236}">
              <a16:creationId xmlns:a16="http://schemas.microsoft.com/office/drawing/2014/main" id="{CEE49B82-B65B-94F7-0A59-B1DF2AFF6F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8575" y="57150"/>
          <a:ext cx="1200150" cy="11811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144780</xdr:colOff>
      <xdr:row>0</xdr:row>
      <xdr:rowOff>53340</xdr:rowOff>
    </xdr:from>
    <xdr:to>
      <xdr:col>19</xdr:col>
      <xdr:colOff>304800</xdr:colOff>
      <xdr:row>32</xdr:row>
      <xdr:rowOff>160020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C876D34-649F-A774-6506-F16767E4C31F}"/>
            </a:ext>
          </a:extLst>
        </xdr:cNvPr>
        <xdr:cNvSpPr txBox="1"/>
      </xdr:nvSpPr>
      <xdr:spPr>
        <a:xfrm>
          <a:off x="144780" y="53340"/>
          <a:ext cx="11742420" cy="620268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HS, HE, 13ro y FR: </a:t>
          </a:r>
          <a:r>
            <a:rPr lang="en-US" sz="1100"/>
            <a:t>Las horas</a:t>
          </a:r>
          <a:r>
            <a:rPr lang="en-US" sz="1100" baseline="0"/>
            <a:t> suplementarias, extraordinarias, décimo tercero y fondos de reserva se ven afectados por los aumentos anuales de $100 a la RMU y deben ser recalculados. Por este mismo motivo la empresa debe ajustar los aportes patronales al IESS y el trabajador sus aportes personales. Para la precisión del cálculo debes ingresar la cantidad de horas extra que hiciste en cada mes en las columnas C y D. Esta hoja considera que hasta marzo de 2022 el 13ro y el FR incluyen el subsidio de antigüedad, tal y como CNEL efectivamente lo calculó hasta esa fecha.</a:t>
          </a:r>
        </a:p>
        <a:p>
          <a:endParaRPr lang="en-US" sz="1100" baseline="0"/>
        </a:p>
        <a:p>
          <a:r>
            <a:rPr lang="en-US" sz="1100" b="1" baseline="0"/>
            <a:t>Servicio médico y dental (Art. 35): </a:t>
          </a:r>
          <a:r>
            <a:rPr lang="en-US" sz="1100" baseline="0"/>
            <a:t>El contrato colectivo no indica cuál es el valor. Se asume $130 mensual del informe presupuestario de CNEL para el 2023 donde toman ese valor ya que es el que se paga en la UN Los Ríos.</a:t>
          </a:r>
        </a:p>
        <a:p>
          <a:endParaRPr lang="en-US" sz="1100" baseline="0"/>
        </a:p>
        <a:p>
          <a:r>
            <a:rPr lang="en-US" sz="1100" b="1" baseline="0"/>
            <a:t>Comisariato (Art. 50):</a:t>
          </a:r>
          <a:r>
            <a:rPr lang="en-US" sz="1100" baseline="0"/>
            <a:t> $50 mensual</a:t>
          </a:r>
        </a:p>
        <a:p>
          <a:endParaRPr lang="en-US" sz="1100" baseline="0"/>
        </a:p>
        <a:p>
          <a:r>
            <a:rPr lang="en-US" sz="1100" b="1" baseline="0"/>
            <a:t>Reconocimiento por años de servicio (Art. 53): </a:t>
          </a:r>
          <a:r>
            <a:rPr lang="en-US" sz="1100" baseline="0"/>
            <a:t>al cumplir </a:t>
          </a:r>
          <a:r>
            <a:rPr lang="es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 años:</a:t>
          </a:r>
          <a:r>
            <a:rPr lang="es-E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</a:t>
          </a:r>
          <a:r>
            <a:rPr lang="es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½</a:t>
          </a:r>
          <a:r>
            <a:rPr lang="es-E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remuneración | </a:t>
          </a:r>
          <a:r>
            <a:rPr lang="es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10 años: 1 remuneración | </a:t>
          </a:r>
          <a:r>
            <a:rPr lang="es-EC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15 años:</a:t>
          </a:r>
          <a:r>
            <a:rPr lang="es-EC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1</a:t>
          </a:r>
          <a:r>
            <a:rPr lang="es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½</a:t>
          </a:r>
          <a:r>
            <a:rPr lang="es-E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remuneraciones | 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20 años: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2 remuneraciones | 25 años 2</a:t>
          </a:r>
          <a:r>
            <a:rPr lang="es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½</a:t>
          </a:r>
          <a:r>
            <a:rPr lang="es-E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remuneraciones | 30 años: 3 remuneraciones.</a:t>
          </a:r>
          <a:endParaRPr 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US" sz="1100" baseline="0"/>
        </a:p>
        <a:p>
          <a:r>
            <a:rPr lang="en-US" sz="1100" b="1" baseline="0"/>
            <a:t>Guardería (Art. 54): </a:t>
          </a:r>
          <a:r>
            <a:rPr lang="en-US" sz="1100" baseline="0"/>
            <a:t>1 SBU mensual por cada hijo menor de 7 años. Esta hoja acepta un máximo de 2 hijos en edad de guardería.</a:t>
          </a:r>
        </a:p>
        <a:p>
          <a:endParaRPr lang="en-US" sz="1100" baseline="0"/>
        </a:p>
        <a:p>
          <a:r>
            <a:rPr lang="en-US" sz="1100" b="1" baseline="0"/>
            <a:t>Canasta y aguinaldo (Art. 55): </a:t>
          </a:r>
          <a:r>
            <a:rPr lang="en-US" sz="1100" baseline="0"/>
            <a:t>1 SBU por aguinaldo y $100 por canasta en diciembre de cada año.</a:t>
          </a:r>
        </a:p>
        <a:p>
          <a:endParaRPr lang="en-US" sz="1100" baseline="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 baseline="0"/>
            <a:t>Ayuda en caso de fallecimiento (Art. 57): </a:t>
          </a:r>
          <a:r>
            <a:rPr lang="en-US" sz="1100" baseline="0"/>
            <a:t>$1.000 cuando fallece un familiar del trabajador. 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Esta hoja acepta un máximo de 2 familiares fallecidos en el período.</a:t>
          </a:r>
          <a:endParaRPr lang="en-US" sz="1100" baseline="0"/>
        </a:p>
        <a:p>
          <a:endParaRPr lang="en-US" sz="1100" baseline="0"/>
        </a:p>
        <a:p>
          <a:r>
            <a:rPr lang="en-US" sz="1100" b="1" baseline="0"/>
            <a:t>Bonos vacacional (Art. 66): </a:t>
          </a:r>
          <a:r>
            <a:rPr lang="en-US" sz="1100" baseline="0"/>
            <a:t>$50 por cada día de vacaciones. Los días adicionales de vacaciones se cuentan desde el primer año (no desde el quinto como dice el código de trabajo) y debe reconocerse el tiempo de tercerización para su cálculo. Esta hoja asume que se toman todos los días de vacaciones a los que se tienen derecho en el año y se paga en diciembre, aunque en  realidad debe ser en el momento en que se toman las vacaciones, pero eso varía de trabajador en trabajador.</a:t>
          </a:r>
        </a:p>
        <a:p>
          <a:endParaRPr lang="en-US" sz="1100" baseline="0"/>
        </a:p>
        <a:p>
          <a:r>
            <a:rPr lang="en-US" sz="1100" b="1" baseline="0"/>
            <a:t>Transporte (Art. 67): </a:t>
          </a:r>
          <a:r>
            <a:rPr lang="en-US" sz="1100" baseline="0"/>
            <a:t>$1 por cada día laborado, $2 si debe coger 2 o más buses, si trabaja en horarios fuera de la jornada $100 mensual. Esta hoja asume $20 mensual si trabaja en horario normal, $100 si trabaja guardias o rotativos y $0 si tiene expreso.</a:t>
          </a:r>
        </a:p>
        <a:p>
          <a:endParaRPr lang="en-US" sz="1100" baseline="0"/>
        </a:p>
        <a:p>
          <a:r>
            <a:rPr lang="en-US" sz="1100" b="1" baseline="0"/>
            <a:t>Intereses: </a:t>
          </a:r>
          <a:r>
            <a:rPr lang="en-US" sz="1100" b="0" baseline="0"/>
            <a:t>En los casos de reparación integral donde se deben entregar valores que los accionantes dejaron de percibir se debe calcular los intereses.</a:t>
          </a:r>
        </a:p>
        <a:p>
          <a:endParaRPr lang="en-US" sz="1100" b="0" baseline="0"/>
        </a:p>
        <a:p>
          <a:r>
            <a:rPr lang="en-US" sz="1100" b="1" baseline="0"/>
            <a:t>Uniformes y Remuneración Variable por Eficiencia RVE (Arts. 33 y 46): </a:t>
          </a:r>
          <a:r>
            <a:rPr lang="en-US" sz="1100" b="0" baseline="0"/>
            <a:t>En el contrato colectivo no se definen los montos. Para los uniformes presumiblemente CNEL habría aceptado $2.000 para personal operativo, y para el personal administrativo $1.200 para mujeres y $800 para hombres. Para la RVE, que se pagó hasta el 2021, se había definido un techo de 3 SBU. Aunque en la hoja se han calculado los valores antes descritos, no se ha considerado el valor para el total.</a:t>
          </a:r>
        </a:p>
        <a:p>
          <a:endParaRPr lang="en-US" sz="1100" baseline="0"/>
        </a:p>
        <a:p>
          <a:r>
            <a:rPr lang="en-US" sz="1100" b="1" baseline="0"/>
            <a:t>Doble función (Art. 19): </a:t>
          </a:r>
          <a:r>
            <a:rPr lang="en-US" sz="1100" b="0" baseline="0"/>
            <a:t>No se incluyen estos valores debido a la falta de claridad de cómo se pagaría de forma retroactiva.</a:t>
          </a:r>
        </a:p>
        <a:p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aecneloep.org/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965ED9-92EF-4D3D-A41A-4A1B525CAA27}">
  <dimension ref="A1:Q43"/>
  <sheetViews>
    <sheetView tabSelected="1" topLeftCell="A2" workbookViewId="0">
      <selection activeCell="D9" sqref="D9"/>
    </sheetView>
  </sheetViews>
  <sheetFormatPr baseColWidth="10" defaultColWidth="11.5703125" defaultRowHeight="15" x14ac:dyDescent="0.25"/>
  <cols>
    <col min="1" max="1" width="19.7109375" customWidth="1"/>
    <col min="2" max="2" width="8" customWidth="1"/>
    <col min="3" max="3" width="18.28515625" customWidth="1"/>
    <col min="4" max="4" width="9.140625" customWidth="1"/>
    <col min="5" max="5" width="27.7109375" customWidth="1"/>
    <col min="6" max="6" width="11.140625" customWidth="1"/>
    <col min="7" max="7" width="15.42578125" customWidth="1"/>
    <col min="8" max="8" width="8.85546875" customWidth="1"/>
    <col min="9" max="9" width="13.85546875" customWidth="1"/>
    <col min="10" max="10" width="12" bestFit="1" customWidth="1"/>
    <col min="11" max="11" width="13.42578125" bestFit="1" customWidth="1"/>
    <col min="12" max="12" width="19.28515625" customWidth="1"/>
    <col min="13" max="13" width="4" customWidth="1"/>
    <col min="14" max="14" width="3.85546875" bestFit="1" customWidth="1"/>
    <col min="15" max="15" width="12.7109375" customWidth="1"/>
    <col min="16" max="16" width="13.28515625" customWidth="1"/>
    <col min="17" max="17" width="18.140625" bestFit="1" customWidth="1"/>
  </cols>
  <sheetData>
    <row r="1" spans="1:17" ht="41.25" customHeight="1" x14ac:dyDescent="0.25">
      <c r="A1" s="61"/>
      <c r="B1" s="85" t="s">
        <v>92</v>
      </c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</row>
    <row r="2" spans="1:17" ht="42.75" customHeight="1" x14ac:dyDescent="0.25">
      <c r="A2" s="61"/>
      <c r="B2" s="96" t="s">
        <v>100</v>
      </c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</row>
    <row r="3" spans="1:17" ht="25.5" customHeight="1" x14ac:dyDescent="0.25">
      <c r="A3" s="58"/>
      <c r="B3" s="100" t="s">
        <v>96</v>
      </c>
      <c r="C3" s="100"/>
      <c r="D3" s="100"/>
      <c r="E3" s="100"/>
      <c r="F3" s="100"/>
      <c r="G3" s="62"/>
      <c r="H3" s="58"/>
      <c r="I3" s="101" t="s">
        <v>97</v>
      </c>
      <c r="J3" s="101"/>
      <c r="K3" s="101"/>
      <c r="L3" s="101"/>
      <c r="M3" s="101"/>
      <c r="N3" s="101"/>
      <c r="O3" s="101"/>
      <c r="P3" s="101"/>
      <c r="Q3" s="101"/>
    </row>
    <row r="4" spans="1:17" ht="15.75" x14ac:dyDescent="0.25">
      <c r="A4" s="95" t="s">
        <v>89</v>
      </c>
      <c r="B4" s="95"/>
      <c r="C4" s="95"/>
      <c r="E4" s="95" t="s">
        <v>86</v>
      </c>
      <c r="F4" s="95"/>
      <c r="G4" s="56"/>
      <c r="I4" s="95" t="s">
        <v>90</v>
      </c>
      <c r="J4" s="95"/>
      <c r="K4" s="95"/>
      <c r="L4" s="95"/>
      <c r="M4" s="95"/>
      <c r="N4" s="95"/>
      <c r="O4" s="95"/>
      <c r="P4" s="95"/>
      <c r="Q4" s="95"/>
    </row>
    <row r="5" spans="1:17" ht="15.75" customHeight="1" x14ac:dyDescent="0.25">
      <c r="A5" s="97" t="s">
        <v>93</v>
      </c>
      <c r="B5" s="98"/>
      <c r="C5" s="98"/>
      <c r="D5" s="59"/>
      <c r="E5" s="63" t="s">
        <v>94</v>
      </c>
      <c r="F5" s="60" t="s">
        <v>103</v>
      </c>
      <c r="G5" s="60" t="s">
        <v>102</v>
      </c>
      <c r="H5" s="59"/>
      <c r="I5" s="99" t="s">
        <v>95</v>
      </c>
      <c r="J5" s="99"/>
      <c r="K5" s="99"/>
      <c r="L5" s="99"/>
      <c r="M5" s="99"/>
      <c r="N5" s="99"/>
      <c r="O5" s="99"/>
      <c r="P5" s="99"/>
      <c r="Q5" s="99"/>
    </row>
    <row r="6" spans="1:17" x14ac:dyDescent="0.25">
      <c r="A6" s="2" t="s">
        <v>12</v>
      </c>
      <c r="B6" s="91">
        <v>40210</v>
      </c>
      <c r="C6" s="91"/>
      <c r="E6" s="30" t="s">
        <v>52</v>
      </c>
      <c r="F6" s="31">
        <f>Detalle!AN66</f>
        <v>11400</v>
      </c>
      <c r="G6" s="31">
        <f>'Detalle CNEL'!AM66</f>
        <v>11400</v>
      </c>
      <c r="I6" s="88" t="s">
        <v>98</v>
      </c>
      <c r="J6" s="88"/>
      <c r="K6" s="88"/>
      <c r="L6" s="88"/>
      <c r="O6" s="86" t="s">
        <v>99</v>
      </c>
      <c r="P6" s="87"/>
    </row>
    <row r="7" spans="1:17" x14ac:dyDescent="0.25">
      <c r="A7" s="2" t="s">
        <v>32</v>
      </c>
      <c r="B7" s="103">
        <v>1212</v>
      </c>
      <c r="C7" s="103"/>
      <c r="E7" s="30" t="s">
        <v>2</v>
      </c>
      <c r="F7" s="31">
        <f>Detalle!AS66</f>
        <v>28479.249999999989</v>
      </c>
      <c r="G7" s="31">
        <f>'Detalle CNEL'!AR66</f>
        <v>28479.249999999989</v>
      </c>
      <c r="I7" s="50" t="s">
        <v>61</v>
      </c>
      <c r="J7" s="50" t="s">
        <v>62</v>
      </c>
      <c r="K7" s="50" t="s">
        <v>63</v>
      </c>
      <c r="L7" s="50" t="s">
        <v>64</v>
      </c>
      <c r="O7" s="42">
        <v>2018</v>
      </c>
      <c r="P7" s="43">
        <v>386</v>
      </c>
    </row>
    <row r="8" spans="1:17" x14ac:dyDescent="0.25">
      <c r="A8" s="8" t="s">
        <v>33</v>
      </c>
      <c r="B8" s="92">
        <v>2</v>
      </c>
      <c r="C8" s="92"/>
      <c r="E8" s="30" t="s">
        <v>1</v>
      </c>
      <c r="F8" s="31">
        <f>Detalle!AU66</f>
        <v>2500</v>
      </c>
      <c r="G8" s="31">
        <f>Detalle!AU66</f>
        <v>2500</v>
      </c>
      <c r="I8" s="51">
        <v>0</v>
      </c>
      <c r="J8" s="51">
        <v>11722</v>
      </c>
      <c r="K8" s="52">
        <v>0</v>
      </c>
      <c r="L8" s="53">
        <v>0</v>
      </c>
      <c r="O8" s="42">
        <v>2019</v>
      </c>
      <c r="P8" s="43">
        <v>394</v>
      </c>
    </row>
    <row r="9" spans="1:17" x14ac:dyDescent="0.25">
      <c r="A9" s="20" t="s">
        <v>78</v>
      </c>
      <c r="B9" s="92" t="s">
        <v>101</v>
      </c>
      <c r="C9" s="92"/>
      <c r="E9" s="30" t="s">
        <v>3</v>
      </c>
      <c r="F9" s="31">
        <f>Detalle!AT66</f>
        <v>1188.5999999999999</v>
      </c>
      <c r="G9" s="31">
        <f>Detalle!AT66</f>
        <v>1188.5999999999999</v>
      </c>
      <c r="I9" s="51">
        <v>11722</v>
      </c>
      <c r="J9" s="51">
        <v>14935</v>
      </c>
      <c r="K9" s="52">
        <v>0</v>
      </c>
      <c r="L9" s="54">
        <v>0.05</v>
      </c>
      <c r="O9" s="42">
        <v>2020</v>
      </c>
      <c r="P9" s="43">
        <v>400</v>
      </c>
    </row>
    <row r="10" spans="1:17" x14ac:dyDescent="0.25">
      <c r="A10" t="s">
        <v>35</v>
      </c>
      <c r="B10" s="92" t="s">
        <v>37</v>
      </c>
      <c r="C10" s="92"/>
      <c r="E10" s="30" t="s">
        <v>4</v>
      </c>
      <c r="F10" s="31">
        <f>Detalle!AV66</f>
        <v>1180</v>
      </c>
      <c r="G10" s="31">
        <f>Detalle!AV66</f>
        <v>1180</v>
      </c>
      <c r="I10" s="51">
        <v>14935</v>
      </c>
      <c r="J10" s="51">
        <v>18666</v>
      </c>
      <c r="K10" s="52">
        <v>161</v>
      </c>
      <c r="L10" s="54">
        <v>0.1</v>
      </c>
      <c r="O10" s="42">
        <v>2021</v>
      </c>
      <c r="P10" s="43">
        <v>400</v>
      </c>
    </row>
    <row r="11" spans="1:17" x14ac:dyDescent="0.25">
      <c r="A11" t="s">
        <v>36</v>
      </c>
      <c r="B11" s="92" t="s">
        <v>87</v>
      </c>
      <c r="C11" s="92"/>
      <c r="E11" s="30" t="s">
        <v>5</v>
      </c>
      <c r="F11" s="31">
        <f>Detalle!AW66</f>
        <v>300</v>
      </c>
      <c r="G11" s="31">
        <f>Detalle!AW66</f>
        <v>300</v>
      </c>
      <c r="I11" s="51">
        <v>18666</v>
      </c>
      <c r="J11" s="51">
        <v>22418</v>
      </c>
      <c r="K11" s="52">
        <v>534</v>
      </c>
      <c r="L11" s="54">
        <v>0.12</v>
      </c>
      <c r="O11" s="42">
        <v>2022</v>
      </c>
      <c r="P11" s="43">
        <v>425</v>
      </c>
    </row>
    <row r="12" spans="1:17" x14ac:dyDescent="0.25">
      <c r="A12" t="s">
        <v>47</v>
      </c>
      <c r="B12" s="92" t="s">
        <v>34</v>
      </c>
      <c r="C12" s="92"/>
      <c r="E12" s="30" t="s">
        <v>44</v>
      </c>
      <c r="F12" s="31">
        <f>Detalle!AX66</f>
        <v>0</v>
      </c>
      <c r="G12" s="31">
        <f>Detalle!AX66</f>
        <v>0</v>
      </c>
      <c r="I12" s="51">
        <v>22418</v>
      </c>
      <c r="J12" s="51">
        <v>32783</v>
      </c>
      <c r="K12" s="52">
        <v>984</v>
      </c>
      <c r="L12" s="54">
        <v>0.15</v>
      </c>
      <c r="O12" s="42">
        <v>2023</v>
      </c>
      <c r="P12" s="43">
        <v>450</v>
      </c>
    </row>
    <row r="13" spans="1:17" x14ac:dyDescent="0.25">
      <c r="A13" s="35" t="s">
        <v>88</v>
      </c>
      <c r="B13" s="92" t="s">
        <v>34</v>
      </c>
      <c r="C13" s="92"/>
      <c r="E13" s="30" t="s">
        <v>45</v>
      </c>
      <c r="F13" s="31">
        <f>Detalle!AZ66</f>
        <v>1190</v>
      </c>
      <c r="G13" s="31">
        <f>'Detalle CNEL'!AX66</f>
        <v>1190</v>
      </c>
      <c r="I13" s="51">
        <v>32783</v>
      </c>
      <c r="J13" s="51">
        <v>43147</v>
      </c>
      <c r="K13" s="52">
        <v>2539</v>
      </c>
      <c r="L13" s="54">
        <v>0.2</v>
      </c>
    </row>
    <row r="14" spans="1:17" x14ac:dyDescent="0.25">
      <c r="A14" t="s">
        <v>48</v>
      </c>
      <c r="B14" s="92" t="s">
        <v>49</v>
      </c>
      <c r="C14" s="92"/>
      <c r="E14" s="30" t="s">
        <v>50</v>
      </c>
      <c r="F14" s="31">
        <f>Detalle!BA66</f>
        <v>1512</v>
      </c>
      <c r="G14" s="31">
        <f>'Detalle CNEL'!AY66</f>
        <v>1312</v>
      </c>
      <c r="I14" s="51">
        <v>43147</v>
      </c>
      <c r="J14" s="51">
        <v>53512</v>
      </c>
      <c r="K14" s="52">
        <v>4612</v>
      </c>
      <c r="L14" s="54">
        <v>0.25</v>
      </c>
      <c r="O14" s="49" t="s">
        <v>13</v>
      </c>
      <c r="P14" s="48">
        <v>8.9599999999999999E-2</v>
      </c>
      <c r="Q14" s="37"/>
    </row>
    <row r="15" spans="1:17" x14ac:dyDescent="0.25">
      <c r="A15" s="8" t="s">
        <v>60</v>
      </c>
      <c r="B15" s="102" t="s">
        <v>34</v>
      </c>
      <c r="C15" s="102"/>
      <c r="E15" s="30" t="s">
        <v>51</v>
      </c>
      <c r="F15" s="31">
        <f>Detalle!BB66</f>
        <v>0</v>
      </c>
      <c r="G15" s="31">
        <f>'Detalle CNEL'!AZ66</f>
        <v>0</v>
      </c>
      <c r="I15" s="51">
        <v>53512</v>
      </c>
      <c r="J15" s="51">
        <v>63876</v>
      </c>
      <c r="K15" s="52">
        <v>7203</v>
      </c>
      <c r="L15" s="54">
        <v>0.3</v>
      </c>
    </row>
    <row r="16" spans="1:17" x14ac:dyDescent="0.25">
      <c r="D16" s="36"/>
      <c r="E16" s="30" t="s">
        <v>39</v>
      </c>
      <c r="F16" s="31">
        <f>Detalle!AO66</f>
        <v>132.55999999999995</v>
      </c>
      <c r="G16" s="31">
        <f>'Detalle CNEL'!AN66</f>
        <v>132.55999999999995</v>
      </c>
      <c r="I16" s="51">
        <v>63876</v>
      </c>
      <c r="J16" s="51">
        <v>103644</v>
      </c>
      <c r="K16" s="52">
        <v>10312</v>
      </c>
      <c r="L16" s="54">
        <v>0.35</v>
      </c>
    </row>
    <row r="17" spans="1:17" x14ac:dyDescent="0.25">
      <c r="D17" s="36"/>
      <c r="E17" s="30" t="s">
        <v>38</v>
      </c>
      <c r="F17" s="31">
        <f>Detalle!AP66</f>
        <v>434.11</v>
      </c>
      <c r="G17" s="31">
        <f>Detalle!AP66</f>
        <v>434.11</v>
      </c>
      <c r="I17" s="51">
        <v>103644</v>
      </c>
      <c r="J17" s="53"/>
      <c r="K17" s="52">
        <v>24231</v>
      </c>
      <c r="L17" s="54">
        <v>0.37</v>
      </c>
    </row>
    <row r="18" spans="1:17" x14ac:dyDescent="0.25">
      <c r="A18" s="89" t="s">
        <v>70</v>
      </c>
      <c r="B18" s="89"/>
      <c r="C18" s="89"/>
      <c r="D18" s="36"/>
      <c r="E18" s="30" t="s">
        <v>40</v>
      </c>
      <c r="F18" s="31">
        <f>Detalle!AQ66</f>
        <v>3370.4400000000019</v>
      </c>
      <c r="G18" s="31">
        <f>'Detalle CNEL'!AP66</f>
        <v>863.41000000000008</v>
      </c>
      <c r="I18" s="38"/>
      <c r="J18" s="38"/>
      <c r="K18" s="38"/>
      <c r="L18" s="38"/>
    </row>
    <row r="19" spans="1:17" x14ac:dyDescent="0.25">
      <c r="C19" t="s">
        <v>69</v>
      </c>
      <c r="D19" s="36"/>
      <c r="E19" s="30" t="s">
        <v>41</v>
      </c>
      <c r="F19" s="31">
        <f>Detalle!AR66</f>
        <v>3369.17</v>
      </c>
      <c r="G19" s="31">
        <f>'Detalle CNEL'!AQ66</f>
        <v>863.08000000000038</v>
      </c>
      <c r="I19" s="39" t="s">
        <v>65</v>
      </c>
      <c r="J19" s="40">
        <f ca="1">F23+F24</f>
        <v>81010.598445007432</v>
      </c>
      <c r="K19" s="38"/>
      <c r="L19" s="40">
        <f>G23+G24</f>
        <v>50711.952159999986</v>
      </c>
    </row>
    <row r="20" spans="1:17" x14ac:dyDescent="0.25">
      <c r="A20" t="s">
        <v>71</v>
      </c>
      <c r="B20" s="70" t="s">
        <v>34</v>
      </c>
      <c r="C20" s="71">
        <v>44900</v>
      </c>
      <c r="D20" s="36"/>
      <c r="E20" s="30" t="s">
        <v>74</v>
      </c>
      <c r="F20" s="31">
        <f>Detalle!BC66</f>
        <v>6250</v>
      </c>
      <c r="G20" s="31">
        <f>'Detalle CNEL'!BA66</f>
        <v>5500</v>
      </c>
      <c r="I20" s="41" t="s">
        <v>75</v>
      </c>
      <c r="J20" s="40">
        <f ca="1">IF(J19&gt;I9,IF(J19&gt;I10,IF(J19&gt;I11,IF(J19&gt;I12,IF(J19&gt;I13,IF(J19&gt;I14,IF(J19&gt;I15,IF(J19&gt;I16,IF(J19&gt;I17,K17,K16),K15),K14),K13),K12),K11),K10),K9),K8)</f>
        <v>10312</v>
      </c>
      <c r="K20" s="38"/>
      <c r="L20" s="40">
        <f>IF(L19&gt;I9,IF(L19&gt;I10,IF(L19&gt;I11,IF(L19&gt;I12,IF(L19&gt;I13,IF(L19&gt;I14,IF(L19&gt;I15,IF(L19&gt;I16,IF(L19&gt;I17,K17,K16),K15),K14),K13),K12),K11),K10),K9),K8)</f>
        <v>4612</v>
      </c>
    </row>
    <row r="21" spans="1:17" x14ac:dyDescent="0.25">
      <c r="A21" t="s">
        <v>72</v>
      </c>
      <c r="B21" s="70" t="s">
        <v>34</v>
      </c>
      <c r="C21" s="71">
        <v>42767</v>
      </c>
      <c r="E21" s="30" t="s">
        <v>104</v>
      </c>
      <c r="F21" s="75">
        <f>Detalle!AY66</f>
        <v>8190</v>
      </c>
      <c r="G21" s="31">
        <f>'Detalle CNEL'!BA68</f>
        <v>0</v>
      </c>
      <c r="I21" s="41" t="s">
        <v>76</v>
      </c>
      <c r="J21" s="40">
        <f ca="1">IF(J19&gt;I9,IF(J19&gt;I10,IF(J19&gt;I11,IF(J19&gt;I12,IF(J19&gt;I13,IF(J19&gt;I14,IF(J19&gt;I15,IF(J19&gt;I16,IF(J19&gt;I17,(J19-I17)*L17,(J19-I16)*L16),(J19-I15)*L15),(J19-I14)*L14),(J19-I13)*L13),(J19-I12)*L12),(J19-I11)*L11),(J19-I10)*L10),(J19-I9)*L9),(J19-I8)*L8)</f>
        <v>5997.1094557526012</v>
      </c>
      <c r="K21" s="38"/>
      <c r="L21" s="40">
        <f>IF(L19&gt;I9,IF(L19&gt;I10,IF(L19&gt;I11,IF(L19&gt;I12,IF(L19&gt;I13,IF(L19&gt;I14,IF(L19&gt;I15,IF(L19&gt;I16,IF(L19&gt;I17,(L19-I17)*L17,(L19-I16)*L16),(L19-I15)*L15),(L19-I14)*L14),(L19-I13)*L13),(L19-I12)*L12),(L19-I11)*L11),(L19-I10)*L10),(L19-I9)*L9),(L19-I8)*L8)</f>
        <v>1891.2380399999965</v>
      </c>
    </row>
    <row r="22" spans="1:17" x14ac:dyDescent="0.25">
      <c r="E22" s="30" t="s">
        <v>46</v>
      </c>
      <c r="F22" s="31">
        <f>Detalle!BD66</f>
        <v>-4631.0578399999995</v>
      </c>
      <c r="G22" s="31">
        <f>'Detalle CNEL'!BB66</f>
        <v>-4631.0578399999995</v>
      </c>
      <c r="I22" s="41" t="s">
        <v>77</v>
      </c>
      <c r="J22" s="40">
        <f ca="1">J20+J21</f>
        <v>16309.109455752601</v>
      </c>
      <c r="K22" s="38"/>
      <c r="L22" s="40">
        <f>L20+L21</f>
        <v>6503.2380399999965</v>
      </c>
    </row>
    <row r="23" spans="1:17" x14ac:dyDescent="0.25">
      <c r="A23" s="90" t="s">
        <v>85</v>
      </c>
      <c r="B23" s="90"/>
      <c r="C23" s="90"/>
      <c r="E23" s="30" t="s">
        <v>56</v>
      </c>
      <c r="F23" s="32">
        <f>SUM(F6:F22)</f>
        <v>64865.072159999974</v>
      </c>
      <c r="G23" s="32">
        <f>SUM(G6:G22)</f>
        <v>50711.952159999986</v>
      </c>
    </row>
    <row r="24" spans="1:17" x14ac:dyDescent="0.25">
      <c r="C24" s="57" t="s">
        <v>91</v>
      </c>
      <c r="E24" s="30" t="s">
        <v>66</v>
      </c>
      <c r="F24" s="31">
        <f ca="1">Detalle!BG66</f>
        <v>16145.526285007465</v>
      </c>
      <c r="G24" s="31">
        <f>'Detalle CNEL'!BE66</f>
        <v>0</v>
      </c>
      <c r="I24" s="93" t="s">
        <v>68</v>
      </c>
      <c r="J24" s="93"/>
      <c r="K24" s="93"/>
      <c r="L24" s="93"/>
      <c r="N24" s="94" t="s">
        <v>81</v>
      </c>
      <c r="O24" s="94"/>
      <c r="P24" s="94"/>
      <c r="Q24" s="94"/>
    </row>
    <row r="25" spans="1:17" x14ac:dyDescent="0.25">
      <c r="A25" t="s">
        <v>79</v>
      </c>
      <c r="B25" s="70" t="s">
        <v>34</v>
      </c>
      <c r="C25" s="71">
        <v>44508</v>
      </c>
      <c r="E25" s="30" t="s">
        <v>58</v>
      </c>
      <c r="F25" s="31">
        <f ca="1">J22*-1</f>
        <v>-16309.109455752601</v>
      </c>
      <c r="G25" s="31">
        <f>L22*-1</f>
        <v>-6503.2380399999965</v>
      </c>
      <c r="I25" s="64"/>
      <c r="J25" s="73" t="s">
        <v>109</v>
      </c>
      <c r="K25" s="73" t="s">
        <v>107</v>
      </c>
      <c r="L25" s="73" t="s">
        <v>108</v>
      </c>
      <c r="N25" s="44"/>
      <c r="O25" s="74" t="s">
        <v>109</v>
      </c>
      <c r="P25" s="74" t="s">
        <v>107</v>
      </c>
      <c r="Q25" s="74" t="s">
        <v>108</v>
      </c>
    </row>
    <row r="26" spans="1:17" x14ac:dyDescent="0.25">
      <c r="A26" t="s">
        <v>80</v>
      </c>
      <c r="B26" s="70" t="s">
        <v>34</v>
      </c>
      <c r="C26" s="71">
        <v>44844</v>
      </c>
      <c r="E26" s="33" t="s">
        <v>55</v>
      </c>
      <c r="F26" s="31">
        <f ca="1">IF(B14="Código",(F23+F24)*15%,(F23+F24)*16%)*-1</f>
        <v>-12961.695751201189</v>
      </c>
      <c r="G26" s="31">
        <f>IF(C14="Código",(G23+G24)*15%,(G23+G24)*16%)*-1</f>
        <v>-8113.9123455999979</v>
      </c>
      <c r="I26" s="65" t="s">
        <v>6</v>
      </c>
      <c r="J26" s="66">
        <v>44552</v>
      </c>
      <c r="K26" s="67">
        <v>4000</v>
      </c>
      <c r="L26" s="67">
        <f>K26*15%</f>
        <v>600</v>
      </c>
      <c r="N26" s="44" t="s">
        <v>84</v>
      </c>
      <c r="O26" s="45"/>
      <c r="P26" s="45"/>
      <c r="Q26" s="45"/>
    </row>
    <row r="27" spans="1:17" x14ac:dyDescent="0.25">
      <c r="E27" s="33" t="s">
        <v>67</v>
      </c>
      <c r="F27" s="31">
        <f>IF(B14="Código",Q35,L33)</f>
        <v>2340.75</v>
      </c>
      <c r="G27" s="31">
        <f>IF(B14="Código",Q35,L33)</f>
        <v>2340.75</v>
      </c>
      <c r="I27" s="65" t="s">
        <v>7</v>
      </c>
      <c r="J27" s="66">
        <v>44617</v>
      </c>
      <c r="K27" s="67">
        <v>1200</v>
      </c>
      <c r="L27" s="67">
        <f>K27*15%</f>
        <v>180</v>
      </c>
      <c r="N27" s="44" t="s">
        <v>7</v>
      </c>
      <c r="O27" s="45"/>
      <c r="P27" s="45"/>
      <c r="Q27" s="45"/>
    </row>
    <row r="28" spans="1:17" x14ac:dyDescent="0.25">
      <c r="E28" s="30" t="s">
        <v>59</v>
      </c>
      <c r="F28" s="31">
        <f>IF(B14="Código",P35,K33)*-1</f>
        <v>-15311</v>
      </c>
      <c r="G28" s="31">
        <f>IF(B14="Código",P35,K33)*-1</f>
        <v>-15311</v>
      </c>
      <c r="I28" s="65" t="s">
        <v>8</v>
      </c>
      <c r="J28" s="66">
        <v>44651</v>
      </c>
      <c r="K28" s="67">
        <f>2096+1605</f>
        <v>3701</v>
      </c>
      <c r="L28" s="67">
        <f>K28*15%</f>
        <v>555.15</v>
      </c>
      <c r="N28" s="44" t="s">
        <v>8</v>
      </c>
      <c r="O28" s="46">
        <v>44552</v>
      </c>
      <c r="P28" s="47">
        <v>4000</v>
      </c>
      <c r="Q28" s="47">
        <f t="shared" ref="Q28:Q34" si="0">P28*15%</f>
        <v>600</v>
      </c>
    </row>
    <row r="29" spans="1:17" ht="18.75" x14ac:dyDescent="0.3">
      <c r="E29" s="33" t="s">
        <v>57</v>
      </c>
      <c r="F29" s="34">
        <f ca="1">F23+F24+F25+F28+F27+F26</f>
        <v>38769.543238053644</v>
      </c>
      <c r="G29" s="34">
        <f>G23+G24+G25+G28+G27+G26</f>
        <v>23124.551774399992</v>
      </c>
      <c r="I29" s="65" t="s">
        <v>9</v>
      </c>
      <c r="J29" s="66">
        <v>44686</v>
      </c>
      <c r="K29" s="67">
        <v>2000</v>
      </c>
      <c r="L29" s="67">
        <f>K29*15%</f>
        <v>300</v>
      </c>
      <c r="N29" s="44" t="s">
        <v>9</v>
      </c>
      <c r="O29" s="46">
        <v>44617</v>
      </c>
      <c r="P29" s="47">
        <v>1200</v>
      </c>
      <c r="Q29" s="47">
        <f t="shared" si="0"/>
        <v>180</v>
      </c>
    </row>
    <row r="30" spans="1:17" x14ac:dyDescent="0.25">
      <c r="I30" s="65" t="s">
        <v>10</v>
      </c>
      <c r="J30" s="66">
        <v>44746</v>
      </c>
      <c r="K30" s="67">
        <v>2232</v>
      </c>
      <c r="L30" s="67">
        <f>K30*16%</f>
        <v>357.12</v>
      </c>
      <c r="N30" s="44" t="s">
        <v>10</v>
      </c>
      <c r="O30" s="46">
        <v>44651</v>
      </c>
      <c r="P30" s="47">
        <f>2096+1605</f>
        <v>3701</v>
      </c>
      <c r="Q30" s="47">
        <f t="shared" si="0"/>
        <v>555.15</v>
      </c>
    </row>
    <row r="31" spans="1:17" x14ac:dyDescent="0.25">
      <c r="F31" s="83" t="s">
        <v>110</v>
      </c>
      <c r="G31" s="84"/>
      <c r="I31" s="65" t="s">
        <v>11</v>
      </c>
      <c r="J31" s="66">
        <v>44840</v>
      </c>
      <c r="K31" s="67">
        <v>2178</v>
      </c>
      <c r="L31" s="67">
        <f>K31*16%</f>
        <v>348.48</v>
      </c>
      <c r="N31" s="44" t="s">
        <v>11</v>
      </c>
      <c r="O31" s="46">
        <v>44686</v>
      </c>
      <c r="P31" s="47">
        <v>2000</v>
      </c>
      <c r="Q31" s="47">
        <f t="shared" si="0"/>
        <v>300</v>
      </c>
    </row>
    <row r="32" spans="1:17" x14ac:dyDescent="0.25">
      <c r="F32" s="81"/>
      <c r="G32" s="82">
        <f>IF(B14="Código",P33/0.0511585,K32/0.03727576)</f>
        <v>0</v>
      </c>
      <c r="I32" s="65" t="s">
        <v>82</v>
      </c>
      <c r="J32" s="68">
        <v>44986</v>
      </c>
      <c r="K32" s="72"/>
      <c r="L32" s="64"/>
      <c r="N32" s="44" t="s">
        <v>82</v>
      </c>
      <c r="O32" s="46">
        <v>44746</v>
      </c>
      <c r="P32" s="47">
        <v>2232</v>
      </c>
      <c r="Q32" s="47">
        <f t="shared" si="0"/>
        <v>334.8</v>
      </c>
    </row>
    <row r="33" spans="9:17" x14ac:dyDescent="0.25">
      <c r="I33" s="64"/>
      <c r="J33" s="64"/>
      <c r="K33" s="69">
        <f>SUM(K26:K32)</f>
        <v>15311</v>
      </c>
      <c r="L33" s="69">
        <f>SUM(L26:L32)</f>
        <v>2340.75</v>
      </c>
      <c r="N33" s="44" t="s">
        <v>83</v>
      </c>
      <c r="O33" s="46">
        <v>44840</v>
      </c>
      <c r="P33" s="47">
        <v>2178</v>
      </c>
      <c r="Q33" s="47">
        <f t="shared" si="0"/>
        <v>326.7</v>
      </c>
    </row>
    <row r="34" spans="9:17" x14ac:dyDescent="0.25">
      <c r="N34" s="44" t="s">
        <v>106</v>
      </c>
      <c r="O34" s="46">
        <v>44986</v>
      </c>
      <c r="P34" s="72"/>
      <c r="Q34" s="47">
        <f t="shared" si="0"/>
        <v>0</v>
      </c>
    </row>
    <row r="35" spans="9:17" x14ac:dyDescent="0.25">
      <c r="N35" s="45"/>
      <c r="O35" s="45"/>
      <c r="P35" s="55">
        <f>SUM(P26:P34)</f>
        <v>15311</v>
      </c>
      <c r="Q35" s="55">
        <f>SUM(Q26:Q34)</f>
        <v>2296.65</v>
      </c>
    </row>
    <row r="36" spans="9:17" x14ac:dyDescent="0.25">
      <c r="I36" s="17"/>
      <c r="J36" s="18"/>
      <c r="K36" s="18"/>
      <c r="L36" s="18"/>
      <c r="M36" s="18"/>
    </row>
    <row r="37" spans="9:17" x14ac:dyDescent="0.25">
      <c r="I37" s="17"/>
      <c r="J37" s="18"/>
      <c r="K37" s="18"/>
      <c r="L37" s="18"/>
      <c r="M37" s="18"/>
    </row>
    <row r="38" spans="9:17" x14ac:dyDescent="0.25">
      <c r="I38" s="17"/>
      <c r="J38" s="18"/>
      <c r="K38" s="18"/>
      <c r="L38" s="18"/>
      <c r="M38" s="18"/>
    </row>
    <row r="39" spans="9:17" x14ac:dyDescent="0.25">
      <c r="I39" s="17"/>
      <c r="J39" s="18"/>
      <c r="K39" s="18"/>
      <c r="L39" s="18"/>
      <c r="M39" s="18"/>
    </row>
    <row r="40" spans="9:17" x14ac:dyDescent="0.25">
      <c r="I40" s="17"/>
      <c r="J40" s="18"/>
      <c r="K40" s="18"/>
      <c r="L40" s="18"/>
      <c r="M40" s="18"/>
    </row>
    <row r="41" spans="9:17" x14ac:dyDescent="0.25">
      <c r="I41" s="17"/>
      <c r="J41" s="18"/>
      <c r="K41" s="18"/>
      <c r="L41" s="18"/>
      <c r="M41" s="18"/>
    </row>
    <row r="42" spans="9:17" x14ac:dyDescent="0.25">
      <c r="I42" s="17"/>
      <c r="J42" s="18"/>
      <c r="K42" s="18"/>
      <c r="L42" s="18"/>
      <c r="M42" s="18"/>
    </row>
    <row r="43" spans="9:17" x14ac:dyDescent="0.25">
      <c r="I43" s="17"/>
      <c r="J43" s="18"/>
      <c r="K43" s="18"/>
      <c r="L43" s="18"/>
      <c r="M43" s="18"/>
    </row>
  </sheetData>
  <protectedRanges>
    <protectedRange sqref="B25:C26" name="AyudaFallecimiento"/>
    <protectedRange sqref="B20:C21" name="Guardería"/>
    <protectedRange sqref="B6:C15" name="Datos1"/>
  </protectedRanges>
  <mergeCells count="26">
    <mergeCell ref="I5:Q5"/>
    <mergeCell ref="B3:F3"/>
    <mergeCell ref="I3:Q3"/>
    <mergeCell ref="B14:C14"/>
    <mergeCell ref="B15:C15"/>
    <mergeCell ref="A4:C4"/>
    <mergeCell ref="E4:F4"/>
    <mergeCell ref="B7:C7"/>
    <mergeCell ref="B9:C9"/>
    <mergeCell ref="B10:C10"/>
    <mergeCell ref="F31:G31"/>
    <mergeCell ref="B1:Q1"/>
    <mergeCell ref="O6:P6"/>
    <mergeCell ref="I6:L6"/>
    <mergeCell ref="A18:C18"/>
    <mergeCell ref="A23:C23"/>
    <mergeCell ref="B6:C6"/>
    <mergeCell ref="B8:C8"/>
    <mergeCell ref="B11:C11"/>
    <mergeCell ref="B12:C12"/>
    <mergeCell ref="B13:C13"/>
    <mergeCell ref="I24:L24"/>
    <mergeCell ref="N24:Q24"/>
    <mergeCell ref="I4:Q4"/>
    <mergeCell ref="B2:Q2"/>
    <mergeCell ref="A5:C5"/>
  </mergeCells>
  <dataValidations count="5">
    <dataValidation type="list" allowBlank="1" showInputMessage="1" showErrorMessage="1" sqref="B11" xr:uid="{D02BB23F-A77B-4D24-9518-187B8333B9CA}">
      <formula1>"Masculino,Femenino"</formula1>
    </dataValidation>
    <dataValidation type="list" allowBlank="1" showInputMessage="1" showErrorMessage="1" sqref="B10" xr:uid="{8EF813A6-128E-4EE4-8140-163427FDEC2D}">
      <formula1>"Oficina,Campo"</formula1>
    </dataValidation>
    <dataValidation type="list" allowBlank="1" showInputMessage="1" showErrorMessage="1" sqref="B9 B12:B13 B25:B26 B20:B21 B15" xr:uid="{00C19FD0-0C88-4EBE-9359-0F11718ECB6D}">
      <formula1>"Sí,No"</formula1>
    </dataValidation>
    <dataValidation type="list" allowBlank="1" showInputMessage="1" showErrorMessage="1" sqref="B14" xr:uid="{A8CC27ED-547D-4C1D-93B3-567B60CE0C8B}">
      <formula1>"Código,LOEP,Era LOEP cambió a Código"</formula1>
    </dataValidation>
    <dataValidation type="date" allowBlank="1" showInputMessage="1" showErrorMessage="1" sqref="B6:C6" xr:uid="{C27C112C-72B4-41A4-BE39-1962A57706AF}">
      <formula1>27395</formula1>
      <formula2>44926</formula2>
    </dataValidation>
  </dataValidations>
  <hyperlinks>
    <hyperlink ref="B3:F3" r:id="rId1" display="https://aecneloep.org" xr:uid="{F4B52E4C-995E-4E01-A64A-157D78F73042}"/>
  </hyperlinks>
  <pageMargins left="0.7" right="0.7" top="0.75" bottom="0.75" header="0.3" footer="0.3"/>
  <pageSetup paperSize="9" orientation="portrait" r:id="rId2"/>
  <drawing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49C64E-59FC-4B97-971C-C7C3728DA33C}">
  <dimension ref="A1:BG66"/>
  <sheetViews>
    <sheetView workbookViewId="0">
      <pane xSplit="1" ySplit="2" topLeftCell="AD47" activePane="bottomRight" state="frozen"/>
      <selection pane="topRight" activeCell="B1" sqref="B1"/>
      <selection pane="bottomLeft" activeCell="A3" sqref="A3"/>
      <selection pane="bottomRight" activeCell="H16" sqref="H16"/>
    </sheetView>
  </sheetViews>
  <sheetFormatPr baseColWidth="10" defaultColWidth="11.5703125" defaultRowHeight="15" x14ac:dyDescent="0.25"/>
  <cols>
    <col min="1" max="1" width="8.28515625" customWidth="1"/>
    <col min="2" max="2" width="8.42578125" customWidth="1"/>
    <col min="3" max="3" width="8.7109375" customWidth="1"/>
    <col min="4" max="4" width="9" customWidth="1"/>
    <col min="5" max="5" width="9.140625" customWidth="1"/>
    <col min="6" max="6" width="8.28515625" customWidth="1"/>
    <col min="7" max="7" width="11.7109375" customWidth="1"/>
    <col min="8" max="8" width="8.85546875" customWidth="1"/>
    <col min="9" max="9" width="11.7109375" customWidth="1"/>
    <col min="10" max="10" width="9.5703125" customWidth="1"/>
    <col min="11" max="11" width="11.28515625" customWidth="1"/>
    <col min="12" max="12" width="10.140625" customWidth="1"/>
    <col min="13" max="13" width="8.42578125" customWidth="1"/>
    <col min="14" max="14" width="13.140625" customWidth="1"/>
    <col min="15" max="16" width="13.85546875" customWidth="1"/>
    <col min="17" max="17" width="11.5703125" customWidth="1"/>
    <col min="18" max="18" width="3" customWidth="1"/>
    <col min="19" max="19" width="9.140625" customWidth="1"/>
    <col min="20" max="20" width="10.140625" customWidth="1"/>
    <col min="21" max="21" width="9.5703125" customWidth="1"/>
    <col min="22" max="22" width="10.28515625" customWidth="1"/>
    <col min="23" max="23" width="10.5703125" customWidth="1"/>
    <col min="25" max="25" width="13.5703125" customWidth="1"/>
    <col min="26" max="26" width="10.42578125" customWidth="1"/>
    <col min="27" max="27" width="14.140625" customWidth="1"/>
    <col min="28" max="28" width="11.42578125" customWidth="1"/>
    <col min="31" max="31" width="12.42578125" customWidth="1"/>
    <col min="32" max="32" width="16.85546875" customWidth="1"/>
    <col min="33" max="33" width="12.7109375" customWidth="1"/>
    <col min="34" max="34" width="11.28515625" customWidth="1"/>
    <col min="35" max="35" width="13.140625" customWidth="1"/>
    <col min="36" max="36" width="11.140625" customWidth="1"/>
    <col min="37" max="37" width="12.42578125" customWidth="1"/>
    <col min="38" max="38" width="11.140625" bestFit="1" customWidth="1"/>
    <col min="39" max="39" width="3.5703125" customWidth="1"/>
    <col min="40" max="40" width="8.7109375" customWidth="1"/>
    <col min="41" max="41" width="7" customWidth="1"/>
    <col min="42" max="42" width="7.140625" customWidth="1"/>
    <col min="43" max="43" width="9" customWidth="1"/>
    <col min="44" max="44" width="9.140625" customWidth="1"/>
    <col min="45" max="45" width="11.28515625" bestFit="1" customWidth="1"/>
    <col min="46" max="46" width="8.140625" bestFit="1" customWidth="1"/>
    <col min="48" max="48" width="10" bestFit="1" customWidth="1"/>
    <col min="49" max="49" width="10.140625" customWidth="1"/>
    <col min="50" max="50" width="13.42578125" bestFit="1" customWidth="1"/>
    <col min="51" max="51" width="13.42578125" customWidth="1"/>
    <col min="52" max="52" width="10.5703125" bestFit="1" customWidth="1"/>
    <col min="53" max="53" width="13.140625" customWidth="1"/>
    <col min="54" max="54" width="12" customWidth="1"/>
    <col min="55" max="55" width="11.140625" customWidth="1"/>
    <col min="56" max="56" width="12" customWidth="1"/>
    <col min="57" max="57" width="6.85546875" customWidth="1"/>
  </cols>
  <sheetData>
    <row r="1" spans="1:59" x14ac:dyDescent="0.25">
      <c r="B1" s="104" t="s">
        <v>43</v>
      </c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26"/>
      <c r="P1" s="26"/>
      <c r="Q1" s="26"/>
      <c r="R1" s="14"/>
      <c r="S1" s="105" t="s">
        <v>42</v>
      </c>
      <c r="T1" s="105"/>
      <c r="U1" s="105"/>
      <c r="V1" s="105"/>
      <c r="W1" s="105"/>
      <c r="X1" s="105"/>
      <c r="Y1" s="105"/>
      <c r="Z1" s="105"/>
      <c r="AA1" s="105"/>
      <c r="AB1" s="105"/>
      <c r="AC1" s="105"/>
      <c r="AD1" s="105"/>
      <c r="AE1" s="105"/>
      <c r="AF1" s="105"/>
      <c r="AG1" s="105"/>
      <c r="AH1" s="105"/>
      <c r="AI1" s="105"/>
      <c r="AJ1" s="105"/>
      <c r="AK1" s="105"/>
      <c r="AL1" s="105"/>
      <c r="AN1" s="106" t="s">
        <v>73</v>
      </c>
      <c r="AO1" s="106"/>
      <c r="AP1" s="106"/>
      <c r="AQ1" s="106"/>
      <c r="AR1" s="106"/>
      <c r="AS1" s="106"/>
      <c r="AT1" s="106"/>
      <c r="AU1" s="106"/>
      <c r="AV1" s="106"/>
      <c r="AW1" s="106"/>
      <c r="AX1" s="106"/>
      <c r="AY1" s="106"/>
      <c r="AZ1" s="106"/>
      <c r="BA1" s="106"/>
      <c r="BB1" s="106"/>
      <c r="BC1" s="106"/>
      <c r="BD1" s="106"/>
      <c r="BE1" s="106"/>
      <c r="BF1" s="106"/>
      <c r="BG1" s="106"/>
    </row>
    <row r="2" spans="1:59" x14ac:dyDescent="0.25">
      <c r="A2" s="15" t="s">
        <v>30</v>
      </c>
      <c r="B2" s="27" t="s">
        <v>0</v>
      </c>
      <c r="C2" s="28" t="s">
        <v>53</v>
      </c>
      <c r="D2" s="28" t="s">
        <v>54</v>
      </c>
      <c r="E2" s="28" t="s">
        <v>39</v>
      </c>
      <c r="F2" s="28" t="s">
        <v>38</v>
      </c>
      <c r="G2" s="28" t="s">
        <v>2</v>
      </c>
      <c r="H2" s="28" t="s">
        <v>40</v>
      </c>
      <c r="I2" s="28" t="s">
        <v>41</v>
      </c>
      <c r="J2" s="27" t="s">
        <v>3</v>
      </c>
      <c r="K2" s="27" t="s">
        <v>1</v>
      </c>
      <c r="L2" s="27" t="s">
        <v>4</v>
      </c>
      <c r="M2" s="27" t="s">
        <v>5</v>
      </c>
      <c r="N2" s="27" t="s">
        <v>44</v>
      </c>
      <c r="O2" s="27" t="s">
        <v>45</v>
      </c>
      <c r="P2" s="27" t="s">
        <v>105</v>
      </c>
      <c r="Q2" s="27" t="s">
        <v>46</v>
      </c>
      <c r="R2" s="16"/>
      <c r="S2" s="24" t="s">
        <v>26</v>
      </c>
      <c r="T2" s="25" t="s">
        <v>39</v>
      </c>
      <c r="U2" s="25" t="s">
        <v>38</v>
      </c>
      <c r="V2" s="25" t="s">
        <v>40</v>
      </c>
      <c r="W2" s="25" t="s">
        <v>41</v>
      </c>
      <c r="X2" s="24" t="s">
        <v>16</v>
      </c>
      <c r="Y2" s="24" t="s">
        <v>17</v>
      </c>
      <c r="Z2" s="24" t="s">
        <v>18</v>
      </c>
      <c r="AA2" s="24" t="s">
        <v>19</v>
      </c>
      <c r="AB2" s="24" t="s">
        <v>20</v>
      </c>
      <c r="AC2" s="24" t="s">
        <v>21</v>
      </c>
      <c r="AD2" s="24" t="s">
        <v>22</v>
      </c>
      <c r="AE2" s="24" t="s">
        <v>23</v>
      </c>
      <c r="AF2" s="24" t="s">
        <v>24</v>
      </c>
      <c r="AG2" s="24" t="s">
        <v>25</v>
      </c>
      <c r="AH2" s="24" t="s">
        <v>31</v>
      </c>
      <c r="AI2" s="24" t="s">
        <v>27</v>
      </c>
      <c r="AJ2" s="24" t="s">
        <v>28</v>
      </c>
      <c r="AK2" s="24" t="s">
        <v>29</v>
      </c>
      <c r="AL2" s="24" t="s">
        <v>46</v>
      </c>
      <c r="AM2" s="16"/>
      <c r="AN2" s="22" t="s">
        <v>0</v>
      </c>
      <c r="AO2" s="22" t="s">
        <v>39</v>
      </c>
      <c r="AP2" s="22" t="s">
        <v>38</v>
      </c>
      <c r="AQ2" s="22" t="s">
        <v>40</v>
      </c>
      <c r="AR2" s="22" t="s">
        <v>41</v>
      </c>
      <c r="AS2" s="23" t="s">
        <v>2</v>
      </c>
      <c r="AT2" s="23" t="s">
        <v>3</v>
      </c>
      <c r="AU2" s="23" t="s">
        <v>1</v>
      </c>
      <c r="AV2" s="23" t="s">
        <v>4</v>
      </c>
      <c r="AW2" s="23" t="s">
        <v>5</v>
      </c>
      <c r="AX2" s="23" t="s">
        <v>44</v>
      </c>
      <c r="AY2" s="23" t="s">
        <v>104</v>
      </c>
      <c r="AZ2" s="23" t="s">
        <v>45</v>
      </c>
      <c r="BA2" s="23" t="s">
        <v>50</v>
      </c>
      <c r="BB2" s="23" t="s">
        <v>51</v>
      </c>
      <c r="BC2" s="23" t="s">
        <v>74</v>
      </c>
      <c r="BD2" s="23" t="s">
        <v>46</v>
      </c>
      <c r="BE2" s="23"/>
      <c r="BF2" s="23" t="s">
        <v>15</v>
      </c>
      <c r="BG2" s="23" t="s">
        <v>14</v>
      </c>
    </row>
    <row r="3" spans="1:59" x14ac:dyDescent="0.25">
      <c r="A3" s="7">
        <v>43101</v>
      </c>
      <c r="B3" s="9">
        <f>IF(Resumen!$B$14="Código",IF(A3&lt;DATE(2021,7,1),Resumen!$B$7,Resumen!$B$7+300),IF(A3&lt;DATE(2022,3,1),Resumen!$B$7,Resumen!$B$7+300))</f>
        <v>1212</v>
      </c>
      <c r="C3" s="77">
        <v>11.83</v>
      </c>
      <c r="D3" s="77">
        <v>7.77</v>
      </c>
      <c r="E3" s="4">
        <f>ROUND((B3/30/8)*1.5*C3,2)</f>
        <v>89.61</v>
      </c>
      <c r="F3" s="4">
        <f>ROUND((B3/30/8)*2*D3,2)</f>
        <v>78.48</v>
      </c>
      <c r="G3" s="4">
        <f>IF(Resumen!$B$14="Código",IF(A3&lt;DATE(2021,7,1),(Resumen!$B$7*0.25%)*DATEDIF("1/1/2009",A3,"y"),IF(Resumen!$B$9="Sí",(((B3*0.03)+(VLOOKUP(YEAR(A3),Resumen!$O$7:$P$12,2,0)*0.05))*DATEDIF(MAX("1/5/2008",Resumen!$B$6),A3,"y")),(((B3*0.03)+(VLOOKUP(YEAR(A3),Resumen!$O$7:$P$12,2,0)*0.05))*DATEDIF(Resumen!$B$6,A3,"y")))),IF(A3&lt;DATE(2022,3,1),(Resumen!$B$7*0.25%)*DATEDIF("1/1/2009",A3,"y"),IF(Resumen!$B$9="Sí",(((B3*0.03)+(VLOOKUP(YEAR(A3),Resumen!$O$7:$P$12,2,0)*0.05))*DATEDIF(MAX("1/5/2008",Resumen!$B$6),A3,"y")),(((B3*0.03)+(VLOOKUP(YEAR(A3),Resumen!$O$7:$P$12,2,0)*0.05))*DATEDIF(Resumen!$B$6,A3,"y")))))</f>
        <v>27.270000000000003</v>
      </c>
      <c r="H3" s="4">
        <f>ROUND((B3+E3+F3+G3)/12,2)</f>
        <v>117.28</v>
      </c>
      <c r="I3" s="4">
        <f>ROUND((B3+E3+F3+G3)*8.33%,2)</f>
        <v>117.23</v>
      </c>
      <c r="J3" s="1">
        <f>IF(Resumen!$B$14="Código",IF(A3&lt;DATE(2021,7,1),0,(0.03*(VLOOKUP(YEAR(A3),Resumen!$O$7:$P$12,2,0))*Resumen!$B$8)),IF(A3&lt;DATE(2022,3,1),0,(0.03*(VLOOKUP(YEAR(A3),Resumen!$O$7:$P$12,2,0))*Resumen!$B$8)))</f>
        <v>0</v>
      </c>
      <c r="K3" s="1">
        <f>IF(Resumen!$B$14="Código",IF(A3&lt;DATE(2021,7,1),0,50),IF(A3&lt;DATE(2022,3,1),0,50))</f>
        <v>0</v>
      </c>
      <c r="L3" s="1">
        <v>0</v>
      </c>
      <c r="M3" s="1">
        <v>0</v>
      </c>
      <c r="N3" s="1">
        <v>0</v>
      </c>
      <c r="O3" s="1">
        <v>0</v>
      </c>
      <c r="P3" s="1">
        <v>0</v>
      </c>
      <c r="Q3" s="1">
        <f>IF(Resumen!$B$14="Código",(B3+E3+F3+G3)*9.45%*-1,(B3+E3+F3+G3)*11.45%*-1)</f>
        <v>-161.14271999999997</v>
      </c>
      <c r="R3" s="3"/>
      <c r="S3" s="9">
        <f>Resumen!$B$7+100</f>
        <v>1312</v>
      </c>
      <c r="T3" s="4">
        <f>ROUND((S3/30/8)*1.5*C3,2)</f>
        <v>97.01</v>
      </c>
      <c r="U3" s="4">
        <f>ROUND((S3/30/8)*2*D3,2)</f>
        <v>84.95</v>
      </c>
      <c r="V3" s="4">
        <f>ROUND((S3+T3+U3+Y3)/12,2)</f>
        <v>158.72</v>
      </c>
      <c r="W3" s="4">
        <f>ROUND((S3+T3+U3+Y3)*8.33%,2)</f>
        <v>158.65</v>
      </c>
      <c r="X3" s="4">
        <f>(0.03*(VLOOKUP(YEAR(A3),Resumen!$O$7:$P$12,2,0))*Resumen!$B$8)</f>
        <v>23.16</v>
      </c>
      <c r="Y3" s="4">
        <f>(((S3*0.03)+(VLOOKUP(YEAR(A3),Resumen!$O$7:$P$12,2,0)*0.05))*DATEDIF(Resumen!$B$6,A3,"y"))</f>
        <v>410.62</v>
      </c>
      <c r="Z3" s="3">
        <v>50</v>
      </c>
      <c r="AA3" s="1">
        <f>IF(DATEDIF(Resumen!$B$6,A3,"M")/12=5,S3/2,IF(DATEDIF(Resumen!$B$6,A3,"M")/12=10,S3,IF(DATEDIF(Resumen!$B$6,A3,"M")/12=15,S3*1.5,IF(DATEDIF(Resumen!$B$6,A3,"M")/12=20,S3*2,IF(DATEDIF(Resumen!$B$6,A3,"M")/12=25,S3*2.5,IF(DATEDIF(Resumen!$B$6,A3,"M")/12=30,S3*3,0))))))</f>
        <v>0</v>
      </c>
      <c r="AB3" s="19">
        <f>(IF(Resumen!$B$20="Sí",IF(Resumen!$C$20&lt;=A3,IF(DATEDIF(Resumen!$C$20,A3,"Y")&lt;8,VLOOKUP(YEAR(A3),Resumen!$O$7:$P$12,2,0),0),0),0))+(IF(Resumen!$B$21="Sí",IF(Resumen!$C$21&lt;=A3,IF(DATEDIF(Resumen!$C$21,A3,"Y")&lt;8,VLOOKUP(YEAR(A3),Resumen!$O$7:$P$12,2,0),0),0),0))</f>
        <v>0</v>
      </c>
      <c r="AC3" s="1">
        <f>IF(MONTH(A3)=12,VLOOKUP(YEAR(A3),Resumen!$O$7:$P$12,2,0),0)</f>
        <v>0</v>
      </c>
      <c r="AD3" s="1">
        <f t="shared" ref="AD3:AD34" si="0">IF(MONTH(A3)=12,100,0)</f>
        <v>0</v>
      </c>
      <c r="AE3" s="19">
        <f>(IF(Resumen!$B$25="Sí",IF(DATE(YEAR(Resumen!$C$25),MONTH(Resumen!$C$25),1)=A3,1000,0)+(IF(Resumen!$B$26="Sí",IF(DATE(YEAR(Resumen!$C$26),MONTH(Resumen!$C$26),1)=A3,1000,0),0)),0))</f>
        <v>0</v>
      </c>
      <c r="AF3" s="1">
        <v>0</v>
      </c>
      <c r="AG3" s="1">
        <v>0</v>
      </c>
      <c r="AH3" s="19">
        <v>130</v>
      </c>
      <c r="AI3" s="1">
        <f>IF(MONTH(A3)=1,(VLOOKUP(YEAR(A3),Resumen!$O$7:$P$12,2,0))*3,0)</f>
        <v>1158</v>
      </c>
      <c r="AJ3" s="19">
        <f>IF(MONTH(A3)=12,(15+DATEDIF(Resumen!$B$6,A3,"y"))*50,0)</f>
        <v>0</v>
      </c>
      <c r="AK3" s="5">
        <f>IF(Resumen!$B$13="No",IF(Resumen!$B$12="No",20,100),0)</f>
        <v>20</v>
      </c>
      <c r="AL3" s="1">
        <f>IF(Resumen!$B$14="Código",(S3+T3+U3+Y3)*9.45%*-1,(S3+T3+U3+Y3)*11.45%*-1)</f>
        <v>-218.07440999999997</v>
      </c>
      <c r="AN3" s="3">
        <f t="shared" ref="AN3:AN34" si="1">S3-B3</f>
        <v>100</v>
      </c>
      <c r="AO3" s="4">
        <f t="shared" ref="AO3:AO34" si="2">T3-E3</f>
        <v>7.4000000000000057</v>
      </c>
      <c r="AP3" s="4">
        <f t="shared" ref="AP3:AP34" si="3">U3-F3</f>
        <v>6.4699999999999989</v>
      </c>
      <c r="AQ3" s="4">
        <f t="shared" ref="AQ3:AQ34" si="4">V3-H3</f>
        <v>41.44</v>
      </c>
      <c r="AR3" s="4">
        <f t="shared" ref="AR3:AR34" si="5">W3-I3</f>
        <v>41.42</v>
      </c>
      <c r="AS3" s="4">
        <f t="shared" ref="AS3:AS34" si="6">Y3-G3</f>
        <v>383.35</v>
      </c>
      <c r="AT3" s="4">
        <f t="shared" ref="AT3:AT34" si="7">X3-J3</f>
        <v>23.16</v>
      </c>
      <c r="AU3" s="4">
        <f t="shared" ref="AU3:AU34" si="8">Z3-K3</f>
        <v>50</v>
      </c>
      <c r="AV3" s="6">
        <f t="shared" ref="AV3:AV34" si="9">AC3-L3</f>
        <v>0</v>
      </c>
      <c r="AW3" s="6">
        <f t="shared" ref="AW3:AW34" si="10">AD3-M3</f>
        <v>0</v>
      </c>
      <c r="AX3" s="6">
        <f t="shared" ref="AX3:AX34" si="11">AF3-N3</f>
        <v>0</v>
      </c>
      <c r="AY3" s="6">
        <f>AH3-P3</f>
        <v>130</v>
      </c>
      <c r="AZ3" s="6">
        <f t="shared" ref="AZ3:AZ34" si="12">AK3-O3</f>
        <v>20</v>
      </c>
      <c r="BA3" s="6">
        <f>AA3</f>
        <v>0</v>
      </c>
      <c r="BB3" s="6">
        <f>AB3</f>
        <v>0</v>
      </c>
      <c r="BC3" s="6">
        <f>AJ3</f>
        <v>0</v>
      </c>
      <c r="BD3" s="6">
        <f t="shared" ref="BD3:BD34" si="13">AL3-Q3</f>
        <v>-56.931690000000003</v>
      </c>
      <c r="BF3" s="3">
        <f>SUM(AN3:BD3)</f>
        <v>746.30831000000001</v>
      </c>
      <c r="BG3" s="3">
        <f ca="1">BF3*Resumen!$P$14*((TODAY()-(A3+30))/360)</f>
        <v>346.79122856497776</v>
      </c>
    </row>
    <row r="4" spans="1:59" x14ac:dyDescent="0.25">
      <c r="A4" s="7">
        <v>43132</v>
      </c>
      <c r="B4" s="9">
        <f>IF(Resumen!$B$14="Código",IF(A4&lt;DATE(2021,7,1),Resumen!$B$7,Resumen!$B$7+300),IF(A4&lt;DATE(2022,3,1),Resumen!$B$7,Resumen!$B$7+300))</f>
        <v>1212</v>
      </c>
      <c r="C4" s="77">
        <v>12</v>
      </c>
      <c r="D4" s="77">
        <v>7.95</v>
      </c>
      <c r="E4" s="4">
        <f t="shared" ref="E4:E61" si="14">ROUND((B4/30/8)*1.5*C4,2)</f>
        <v>90.9</v>
      </c>
      <c r="F4" s="4">
        <f t="shared" ref="F4:F61" si="15">ROUND((B4/30/8)*2*D4,2)</f>
        <v>80.3</v>
      </c>
      <c r="G4" s="4">
        <f>IF(Resumen!$B$14="Código",IF(A4&lt;DATE(2021,7,1),(Resumen!$B$7*0.25%)*DATEDIF("1/1/2009",A4,"y"),IF(Resumen!$B$9="Sí",(((B4*0.03)+(VLOOKUP(YEAR(A4),Resumen!$O$7:$P$12,2,0)*0.05))*DATEDIF(MAX("1/5/2008",Resumen!$B$6),A4,"y")),(((B4*0.03)+(VLOOKUP(YEAR(A4),Resumen!$O$7:$P$12,2,0)*0.05))*DATEDIF(Resumen!$B$6,A4,"y")))),IF(A4&lt;DATE(2022,3,1),(Resumen!$B$7*0.25%)*DATEDIF("1/1/2009",A4,"y"),IF(Resumen!$B$9="Sí",(((B4*0.03)+(VLOOKUP(YEAR(A4),Resumen!$O$7:$P$12,2,0)*0.05))*DATEDIF(MAX("1/5/2008",Resumen!$B$6),A4,"y")),(((B4*0.03)+(VLOOKUP(YEAR(A4),Resumen!$O$7:$P$12,2,0)*0.05))*DATEDIF(Resumen!$B$6,A4,"y")))))</f>
        <v>27.270000000000003</v>
      </c>
      <c r="H4" s="4">
        <f t="shared" ref="H4:H52" si="16">ROUND((B4+E4+F4+G4)/12,2)</f>
        <v>117.54</v>
      </c>
      <c r="I4" s="4">
        <f t="shared" ref="I4:I52" si="17">ROUND((B4+E4+F4+G4)*8.33%,2)</f>
        <v>117.49</v>
      </c>
      <c r="J4" s="1">
        <f>IF(Resumen!$B$14="Código",IF(A4&lt;DATE(2021,7,1),0,(0.03*(VLOOKUP(YEAR(A4),Resumen!$O$7:$P$12,2,0))*Resumen!$B$8)),IF(A4&lt;DATE(2022,3,1),0,(0.03*(VLOOKUP(YEAR(A4),Resumen!$O$7:$P$12,2,0))*Resumen!$B$8)))</f>
        <v>0</v>
      </c>
      <c r="K4" s="1">
        <f>IF(Resumen!$B$14="Código",IF(A4&lt;DATE(2021,7,1),0,50),IF(A4&lt;DATE(2022,3,1),0,50))</f>
        <v>0</v>
      </c>
      <c r="L4" s="1">
        <v>0</v>
      </c>
      <c r="M4" s="1">
        <v>0</v>
      </c>
      <c r="N4" s="1">
        <v>0</v>
      </c>
      <c r="O4" s="1">
        <v>0</v>
      </c>
      <c r="P4" s="1">
        <v>0</v>
      </c>
      <c r="Q4" s="1">
        <f>IF(Resumen!$B$14="Código",(B4+E4+F4+G4)*9.45%*-1,(B4+E4+F4+G4)*11.45%*-1)</f>
        <v>-161.49881499999998</v>
      </c>
      <c r="R4" s="3"/>
      <c r="S4" s="9">
        <f>S3</f>
        <v>1312</v>
      </c>
      <c r="T4" s="4">
        <f t="shared" ref="T4:T61" si="18">ROUND((S4/30/8)*1.5*C4,2)</f>
        <v>98.4</v>
      </c>
      <c r="U4" s="4">
        <f t="shared" ref="U4:U61" si="19">ROUND((S4/30/8)*2*D4,2)</f>
        <v>86.92</v>
      </c>
      <c r="V4" s="4">
        <f t="shared" ref="V4:V52" si="20">ROUND((S4+T4+U4+Y4)/12,2)</f>
        <v>163.88</v>
      </c>
      <c r="W4" s="4">
        <f t="shared" ref="W4:W52" si="21">ROUND((S4+T4+U4+Y4)*8.33%,2)</f>
        <v>163.82</v>
      </c>
      <c r="X4" s="4">
        <f>(0.03*(VLOOKUP(YEAR(A4),Resumen!$O$7:$P$12,2,0))*Resumen!$B$8)</f>
        <v>23.16</v>
      </c>
      <c r="Y4" s="4">
        <f>(((S4*0.03)+(VLOOKUP(YEAR(A4),Resumen!$O$7:$P$12,2,0)*0.05))*DATEDIF(Resumen!$B$6,A4,"y"))</f>
        <v>469.28</v>
      </c>
      <c r="Z4" s="3">
        <v>50</v>
      </c>
      <c r="AA4" s="1">
        <f>IF(DATEDIF(Resumen!$B$6,A4,"M")/12=5,S4/2,IF(DATEDIF(Resumen!$B$6,A4,"M")/12=10,S4,IF(DATEDIF(Resumen!$B$6,A4,"M")/12=15,S4*1.5,IF(DATEDIF(Resumen!$B$6,A4,"M")/12=20,S4*2,IF(DATEDIF(Resumen!$B$6,A4,"M")/12=25,S4*2.5,IF(DATEDIF(Resumen!$B$6,A4,"M")/12=30,S4*3,0))))))</f>
        <v>0</v>
      </c>
      <c r="AB4" s="19">
        <f>(IF(Resumen!$B$20="Sí",IF(Resumen!$C$20&lt;=A4,IF(DATEDIF(Resumen!$C$20,A4,"Y")&lt;8,VLOOKUP(YEAR(A4),Resumen!$O$7:$P$12,2,0),0),0),0))+(IF(Resumen!$B$21="Sí",IF(Resumen!$C$21&lt;=A4,IF(DATEDIF(Resumen!$C$21,A4,"Y")&lt;8,VLOOKUP(YEAR(A4),Resumen!$O$7:$P$12,2,0),0),0),0))</f>
        <v>0</v>
      </c>
      <c r="AC4" s="1">
        <f>IF(MONTH(A4)=12,VLOOKUP(YEAR(A4),Resumen!$O$7:$P$12,2,0),0)</f>
        <v>0</v>
      </c>
      <c r="AD4" s="1">
        <f t="shared" si="0"/>
        <v>0</v>
      </c>
      <c r="AE4" s="19">
        <f>(IF(Resumen!$B$25="Sí",IF(DATE(YEAR(Resumen!$C$25),MONTH(Resumen!$C$25),1)=A4,1000,0)+(IF(Resumen!$B$26="Sí",IF(DATE(YEAR(Resumen!$C$26),MONTH(Resumen!$C$26),1)=A4,1000,0),0)),0))</f>
        <v>0</v>
      </c>
      <c r="AF4" s="1">
        <v>0</v>
      </c>
      <c r="AG4" s="1">
        <v>0</v>
      </c>
      <c r="AH4" s="19">
        <v>130</v>
      </c>
      <c r="AI4" s="1">
        <f>IF(MONTH(A4)=1,(VLOOKUP(YEAR(A4),Resumen!$O$7:$P$12,2,0))*3,0)</f>
        <v>0</v>
      </c>
      <c r="AJ4" s="19">
        <f>IF(MONTH(A4)=12,(15+DATEDIF(Resumen!$B$6,A4,"y"))*50,0)</f>
        <v>0</v>
      </c>
      <c r="AK4" s="5">
        <f>IF(Resumen!$B$13="No",IF(Resumen!$B$12="No",20,100),0)</f>
        <v>20</v>
      </c>
      <c r="AL4" s="1">
        <f>IF(Resumen!$B$14="Código",(S4+T4+U4+Y4)*9.45%*-1,(S4+T4+U4+Y4)*11.45%*-1)</f>
        <v>-225.17570000000001</v>
      </c>
      <c r="AN4" s="3">
        <f t="shared" si="1"/>
        <v>100</v>
      </c>
      <c r="AO4" s="4">
        <f t="shared" si="2"/>
        <v>7.5</v>
      </c>
      <c r="AP4" s="4">
        <f t="shared" si="3"/>
        <v>6.6200000000000045</v>
      </c>
      <c r="AQ4" s="4">
        <f t="shared" si="4"/>
        <v>46.339999999999989</v>
      </c>
      <c r="AR4" s="4">
        <f t="shared" si="5"/>
        <v>46.33</v>
      </c>
      <c r="AS4" s="4">
        <f t="shared" si="6"/>
        <v>442.01</v>
      </c>
      <c r="AT4" s="4">
        <f t="shared" si="7"/>
        <v>23.16</v>
      </c>
      <c r="AU4" s="4">
        <f t="shared" si="8"/>
        <v>50</v>
      </c>
      <c r="AV4" s="6">
        <f t="shared" si="9"/>
        <v>0</v>
      </c>
      <c r="AW4" s="6">
        <f t="shared" si="10"/>
        <v>0</v>
      </c>
      <c r="AX4" s="6">
        <f t="shared" si="11"/>
        <v>0</v>
      </c>
      <c r="AY4" s="6">
        <f t="shared" ref="AY4:AY65" si="22">AH4-P4</f>
        <v>130</v>
      </c>
      <c r="AZ4" s="6">
        <f t="shared" si="12"/>
        <v>20</v>
      </c>
      <c r="BA4" s="6">
        <f t="shared" ref="BA4:BA61" si="23">AA4</f>
        <v>0</v>
      </c>
      <c r="BB4" s="6">
        <f t="shared" ref="BB4:BB61" si="24">AB4</f>
        <v>0</v>
      </c>
      <c r="BC4" s="6">
        <f t="shared" ref="BC4:BC61" si="25">AJ4</f>
        <v>0</v>
      </c>
      <c r="BD4" s="6">
        <f t="shared" si="13"/>
        <v>-63.676885000000027</v>
      </c>
      <c r="BF4" s="3">
        <f t="shared" ref="BF4:BF61" si="26">SUM(AN4:BD4)</f>
        <v>808.28311499999995</v>
      </c>
      <c r="BG4" s="3">
        <f ca="1">BF4*Resumen!$P$14*((TODAY()-(A4+30))/360)</f>
        <v>369.35305223039995</v>
      </c>
    </row>
    <row r="5" spans="1:59" x14ac:dyDescent="0.25">
      <c r="A5" s="7">
        <v>43160</v>
      </c>
      <c r="B5" s="9">
        <f>IF(Resumen!$B$14="Código",IF(A5&lt;DATE(2021,7,1),Resumen!$B$7,Resumen!$B$7+300),IF(A5&lt;DATE(2022,3,1),Resumen!$B$7,Resumen!$B$7+300))</f>
        <v>1212</v>
      </c>
      <c r="C5" s="77">
        <v>11.98</v>
      </c>
      <c r="D5" s="77">
        <v>14.87</v>
      </c>
      <c r="E5" s="4">
        <f t="shared" si="14"/>
        <v>90.75</v>
      </c>
      <c r="F5" s="4">
        <f t="shared" si="15"/>
        <v>150.19</v>
      </c>
      <c r="G5" s="4">
        <f>IF(Resumen!$B$14="Código",IF(A5&lt;DATE(2021,7,1),(Resumen!$B$7*0.25%)*DATEDIF("1/1/2009",A5,"y"),IF(Resumen!$B$9="Sí",(((B5*0.03)+(VLOOKUP(YEAR(A5),Resumen!$O$7:$P$12,2,0)*0.05))*DATEDIF(MAX("1/5/2008",Resumen!$B$6),A5,"y")),(((B5*0.03)+(VLOOKUP(YEAR(A5),Resumen!$O$7:$P$12,2,0)*0.05))*DATEDIF(Resumen!$B$6,A5,"y")))),IF(A5&lt;DATE(2022,3,1),(Resumen!$B$7*0.25%)*DATEDIF("1/1/2009",A5,"y"),IF(Resumen!$B$9="Sí",(((B5*0.03)+(VLOOKUP(YEAR(A5),Resumen!$O$7:$P$12,2,0)*0.05))*DATEDIF(MAX("1/5/2008",Resumen!$B$6),A5,"y")),(((B5*0.03)+(VLOOKUP(YEAR(A5),Resumen!$O$7:$P$12,2,0)*0.05))*DATEDIF(Resumen!$B$6,A5,"y")))))</f>
        <v>27.270000000000003</v>
      </c>
      <c r="H5" s="4">
        <f t="shared" si="16"/>
        <v>123.35</v>
      </c>
      <c r="I5" s="4">
        <f t="shared" si="17"/>
        <v>123.3</v>
      </c>
      <c r="J5" s="1">
        <f>IF(Resumen!$B$14="Código",IF(A5&lt;DATE(2021,7,1),0,(0.03*(VLOOKUP(YEAR(A5),Resumen!$O$7:$P$12,2,0))*Resumen!$B$8)),IF(A5&lt;DATE(2022,3,1),0,(0.03*(VLOOKUP(YEAR(A5),Resumen!$O$7:$P$12,2,0))*Resumen!$B$8)))</f>
        <v>0</v>
      </c>
      <c r="K5" s="1">
        <f>IF(Resumen!$B$14="Código",IF(A5&lt;DATE(2021,7,1),0,50),IF(A5&lt;DATE(2022,3,1),0,50))</f>
        <v>0</v>
      </c>
      <c r="L5" s="1">
        <v>0</v>
      </c>
      <c r="M5" s="1">
        <v>0</v>
      </c>
      <c r="N5" s="1">
        <v>0</v>
      </c>
      <c r="O5" s="1">
        <v>0</v>
      </c>
      <c r="P5" s="1">
        <v>0</v>
      </c>
      <c r="Q5" s="1">
        <f>IF(Resumen!$B$14="Código",(B5+E5+F5+G5)*9.45%*-1,(B5+E5+F5+G5)*11.45%*-1)</f>
        <v>-169.48404499999998</v>
      </c>
      <c r="R5" s="3"/>
      <c r="S5" s="9">
        <f t="shared" ref="S5:S14" si="27">S4</f>
        <v>1312</v>
      </c>
      <c r="T5" s="4">
        <f t="shared" si="18"/>
        <v>98.24</v>
      </c>
      <c r="U5" s="4">
        <f t="shared" si="19"/>
        <v>162.58000000000001</v>
      </c>
      <c r="V5" s="4">
        <f t="shared" si="20"/>
        <v>170.18</v>
      </c>
      <c r="W5" s="4">
        <f t="shared" si="21"/>
        <v>170.11</v>
      </c>
      <c r="X5" s="4">
        <f>(0.03*(VLOOKUP(YEAR(A5),Resumen!$O$7:$P$12,2,0))*Resumen!$B$8)</f>
        <v>23.16</v>
      </c>
      <c r="Y5" s="4">
        <f>(((S5*0.03)+(VLOOKUP(YEAR(A5),Resumen!$O$7:$P$12,2,0)*0.05))*DATEDIF(Resumen!$B$6,A5,"y"))</f>
        <v>469.28</v>
      </c>
      <c r="Z5" s="3">
        <v>50</v>
      </c>
      <c r="AA5" s="1">
        <f>IF(DATEDIF(Resumen!$B$6,A5,"M")/12=5,S5/2,IF(DATEDIF(Resumen!$B$6,A5,"M")/12=10,S5,IF(DATEDIF(Resumen!$B$6,A5,"M")/12=15,S5*1.5,IF(DATEDIF(Resumen!$B$6,A5,"M")/12=20,S5*2,IF(DATEDIF(Resumen!$B$6,A5,"M")/12=25,S5*2.5,IF(DATEDIF(Resumen!$B$6,A5,"M")/12=30,S5*3,0))))))</f>
        <v>0</v>
      </c>
      <c r="AB5" s="19">
        <f>(IF(Resumen!$B$20="Sí",IF(Resumen!$C$20&lt;=A5,IF(DATEDIF(Resumen!$C$20,A5,"Y")&lt;8,VLOOKUP(YEAR(A5),Resumen!$O$7:$P$12,2,0),0),0),0))+(IF(Resumen!$B$21="Sí",IF(Resumen!$C$21&lt;=A5,IF(DATEDIF(Resumen!$C$21,A5,"Y")&lt;8,VLOOKUP(YEAR(A5),Resumen!$O$7:$P$12,2,0),0),0),0))</f>
        <v>0</v>
      </c>
      <c r="AC5" s="1">
        <f>IF(MONTH(A5)=12,VLOOKUP(YEAR(A5),Resumen!$O$7:$P$12,2,0),0)</f>
        <v>0</v>
      </c>
      <c r="AD5" s="1">
        <f t="shared" si="0"/>
        <v>0</v>
      </c>
      <c r="AE5" s="19">
        <f>(IF(Resumen!$B$25="Sí",IF(DATE(YEAR(Resumen!$C$25),MONTH(Resumen!$C$25),1)=A5,1000,0)+(IF(Resumen!$B$26="Sí",IF(DATE(YEAR(Resumen!$C$26),MONTH(Resumen!$C$26),1)=A5,1000,0),0)),0))</f>
        <v>0</v>
      </c>
      <c r="AF5" s="1">
        <v>0</v>
      </c>
      <c r="AG5" s="1">
        <v>0</v>
      </c>
      <c r="AH5" s="19">
        <v>130</v>
      </c>
      <c r="AI5" s="1">
        <f>IF(MONTH(A5)=1,(VLOOKUP(YEAR(A5),Resumen!$O$7:$P$12,2,0))*3,0)</f>
        <v>0</v>
      </c>
      <c r="AJ5" s="19">
        <f>IF(MONTH(A5)=12,(15+DATEDIF(Resumen!$B$6,A5,"y"))*50,0)</f>
        <v>0</v>
      </c>
      <c r="AK5" s="5">
        <f>IF(Resumen!$B$13="No",IF(Resumen!$B$12="No",20,100),0)</f>
        <v>20</v>
      </c>
      <c r="AL5" s="1">
        <f>IF(Resumen!$B$14="Código",(S5+T5+U5+Y5)*9.45%*-1,(S5+T5+U5+Y5)*11.45%*-1)</f>
        <v>-233.82044999999997</v>
      </c>
      <c r="AN5" s="3">
        <f t="shared" si="1"/>
        <v>100</v>
      </c>
      <c r="AO5" s="4">
        <f t="shared" si="2"/>
        <v>7.4899999999999949</v>
      </c>
      <c r="AP5" s="4">
        <f t="shared" si="3"/>
        <v>12.390000000000015</v>
      </c>
      <c r="AQ5" s="4">
        <f t="shared" si="4"/>
        <v>46.830000000000013</v>
      </c>
      <c r="AR5" s="4">
        <f t="shared" si="5"/>
        <v>46.810000000000016</v>
      </c>
      <c r="AS5" s="4">
        <f t="shared" si="6"/>
        <v>442.01</v>
      </c>
      <c r="AT5" s="4">
        <f t="shared" si="7"/>
        <v>23.16</v>
      </c>
      <c r="AU5" s="4">
        <f t="shared" si="8"/>
        <v>50</v>
      </c>
      <c r="AV5" s="6">
        <f t="shared" si="9"/>
        <v>0</v>
      </c>
      <c r="AW5" s="6">
        <f t="shared" si="10"/>
        <v>0</v>
      </c>
      <c r="AX5" s="6">
        <f t="shared" si="11"/>
        <v>0</v>
      </c>
      <c r="AY5" s="6">
        <f t="shared" si="22"/>
        <v>130</v>
      </c>
      <c r="AZ5" s="6">
        <f t="shared" si="12"/>
        <v>20</v>
      </c>
      <c r="BA5" s="6">
        <f t="shared" si="23"/>
        <v>0</v>
      </c>
      <c r="BB5" s="6">
        <f t="shared" si="24"/>
        <v>0</v>
      </c>
      <c r="BC5" s="6">
        <f t="shared" si="25"/>
        <v>0</v>
      </c>
      <c r="BD5" s="6">
        <f t="shared" si="13"/>
        <v>-64.336404999999985</v>
      </c>
      <c r="BF5" s="3">
        <f t="shared" si="26"/>
        <v>814.35359499999993</v>
      </c>
      <c r="BG5" s="3">
        <f ca="1">BF5*Resumen!$P$14*((TODAY()-(A5+30))/360)</f>
        <v>366.45187905137777</v>
      </c>
    </row>
    <row r="6" spans="1:59" x14ac:dyDescent="0.25">
      <c r="A6" s="7">
        <v>43191</v>
      </c>
      <c r="B6" s="9">
        <f>IF(Resumen!$B$14="Código",IF(A6&lt;DATE(2021,7,1),Resumen!$B$7,Resumen!$B$7+300),IF(A6&lt;DATE(2022,3,1),Resumen!$B$7,Resumen!$B$7+300))</f>
        <v>1212</v>
      </c>
      <c r="C6" s="77">
        <v>1</v>
      </c>
      <c r="D6" s="77">
        <v>21.62</v>
      </c>
      <c r="E6" s="4">
        <f t="shared" si="14"/>
        <v>7.58</v>
      </c>
      <c r="F6" s="4">
        <f t="shared" si="15"/>
        <v>218.36</v>
      </c>
      <c r="G6" s="4">
        <f>IF(Resumen!$B$14="Código",IF(A6&lt;DATE(2021,7,1),(Resumen!$B$7*0.25%)*DATEDIF("1/1/2009",A6,"y"),IF(Resumen!$B$9="Sí",(((B6*0.03)+(VLOOKUP(YEAR(A6),Resumen!$O$7:$P$12,2,0)*0.05))*DATEDIF(MAX("1/5/2008",Resumen!$B$6),A6,"y")),(((B6*0.03)+(VLOOKUP(YEAR(A6),Resumen!$O$7:$P$12,2,0)*0.05))*DATEDIF(Resumen!$B$6,A6,"y")))),IF(A6&lt;DATE(2022,3,1),(Resumen!$B$7*0.25%)*DATEDIF("1/1/2009",A6,"y"),IF(Resumen!$B$9="Sí",(((B6*0.03)+(VLOOKUP(YEAR(A6),Resumen!$O$7:$P$12,2,0)*0.05))*DATEDIF(MAX("1/5/2008",Resumen!$B$6),A6,"y")),(((B6*0.03)+(VLOOKUP(YEAR(A6),Resumen!$O$7:$P$12,2,0)*0.05))*DATEDIF(Resumen!$B$6,A6,"y")))))</f>
        <v>27.270000000000003</v>
      </c>
      <c r="H6" s="4">
        <f t="shared" si="16"/>
        <v>122.1</v>
      </c>
      <c r="I6" s="4">
        <f t="shared" si="17"/>
        <v>122.05</v>
      </c>
      <c r="J6" s="1">
        <f>IF(Resumen!$B$14="Código",IF(A6&lt;DATE(2021,7,1),0,(0.03*(VLOOKUP(YEAR(A6),Resumen!$O$7:$P$12,2,0))*Resumen!$B$8)),IF(A6&lt;DATE(2022,3,1),0,(0.03*(VLOOKUP(YEAR(A6),Resumen!$O$7:$P$12,2,0))*Resumen!$B$8)))</f>
        <v>0</v>
      </c>
      <c r="K6" s="1">
        <f>IF(Resumen!$B$14="Código",IF(A6&lt;DATE(2021,7,1),0,50),IF(A6&lt;DATE(2022,3,1),0,50))</f>
        <v>0</v>
      </c>
      <c r="L6" s="1">
        <v>0</v>
      </c>
      <c r="M6" s="1">
        <v>0</v>
      </c>
      <c r="N6" s="1">
        <v>0</v>
      </c>
      <c r="O6" s="1">
        <v>0</v>
      </c>
      <c r="P6" s="1">
        <v>0</v>
      </c>
      <c r="Q6" s="1">
        <f>IF(Resumen!$B$14="Código",(B6+E6+F6+G6)*9.45%*-1,(B6+E6+F6+G6)*11.45%*-1)</f>
        <v>-167.76654499999998</v>
      </c>
      <c r="R6" s="3"/>
      <c r="S6" s="9">
        <f t="shared" si="27"/>
        <v>1312</v>
      </c>
      <c r="T6" s="4">
        <f t="shared" si="18"/>
        <v>8.1999999999999993</v>
      </c>
      <c r="U6" s="4">
        <f t="shared" si="19"/>
        <v>236.38</v>
      </c>
      <c r="V6" s="4">
        <f t="shared" si="20"/>
        <v>168.82</v>
      </c>
      <c r="W6" s="4">
        <f t="shared" si="21"/>
        <v>168.75</v>
      </c>
      <c r="X6" s="4">
        <f>(0.03*(VLOOKUP(YEAR(A6),Resumen!$O$7:$P$12,2,0))*Resumen!$B$8)</f>
        <v>23.16</v>
      </c>
      <c r="Y6" s="4">
        <f>(((S6*0.03)+(VLOOKUP(YEAR(A6),Resumen!$O$7:$P$12,2,0)*0.05))*DATEDIF(Resumen!$B$6,A6,"y"))</f>
        <v>469.28</v>
      </c>
      <c r="Z6" s="3">
        <v>50</v>
      </c>
      <c r="AA6" s="1">
        <f>IF(DATEDIF(Resumen!$B$6,A6,"M")/12=5,S6/2,IF(DATEDIF(Resumen!$B$6,A6,"M")/12=10,S6,IF(DATEDIF(Resumen!$B$6,A6,"M")/12=15,S6*1.5,IF(DATEDIF(Resumen!$B$6,A6,"M")/12=20,S6*2,IF(DATEDIF(Resumen!$B$6,A6,"M")/12=25,S6*2.5,IF(DATEDIF(Resumen!$B$6,A6,"M")/12=30,S6*3,0))))))</f>
        <v>0</v>
      </c>
      <c r="AB6" s="19">
        <f>(IF(Resumen!$B$20="Sí",IF(Resumen!$C$20&lt;=A6,IF(DATEDIF(Resumen!$C$20,A6,"Y")&lt;8,VLOOKUP(YEAR(A6),Resumen!$O$7:$P$12,2,0),0),0),0))+(IF(Resumen!$B$21="Sí",IF(Resumen!$C$21&lt;=A6,IF(DATEDIF(Resumen!$C$21,A6,"Y")&lt;8,VLOOKUP(YEAR(A6),Resumen!$O$7:$P$12,2,0),0),0),0))</f>
        <v>0</v>
      </c>
      <c r="AC6" s="1">
        <f>IF(MONTH(A6)=12,VLOOKUP(YEAR(A6),Resumen!$O$7:$P$12,2,0),0)</f>
        <v>0</v>
      </c>
      <c r="AD6" s="1">
        <f t="shared" si="0"/>
        <v>0</v>
      </c>
      <c r="AE6" s="19">
        <f>(IF(Resumen!$B$25="Sí",IF(DATE(YEAR(Resumen!$C$25),MONTH(Resumen!$C$25),1)=A6,1000,0)+(IF(Resumen!$B$26="Sí",IF(DATE(YEAR(Resumen!$C$26),MONTH(Resumen!$C$26),1)=A6,1000,0),0)),0))</f>
        <v>0</v>
      </c>
      <c r="AF6" s="1">
        <v>0</v>
      </c>
      <c r="AG6" s="1">
        <v>0</v>
      </c>
      <c r="AH6" s="19">
        <v>130</v>
      </c>
      <c r="AI6" s="1">
        <f>IF(MONTH(A6)=1,(VLOOKUP(YEAR(A6),Resumen!$O$7:$P$12,2,0))*3,0)</f>
        <v>0</v>
      </c>
      <c r="AJ6" s="19">
        <f>IF(MONTH(A6)=12,(15+DATEDIF(Resumen!$B$6,A6,"y"))*50,0)</f>
        <v>0</v>
      </c>
      <c r="AK6" s="5">
        <f>IF(Resumen!$B$13="No",IF(Resumen!$B$12="No",20,100),0)</f>
        <v>20</v>
      </c>
      <c r="AL6" s="1">
        <f>IF(Resumen!$B$14="Código",(S6+T6+U6+Y6)*9.45%*-1,(S6+T6+U6+Y6)*11.45%*-1)</f>
        <v>-231.96096999999997</v>
      </c>
      <c r="AN6" s="3">
        <f t="shared" si="1"/>
        <v>100</v>
      </c>
      <c r="AO6" s="4">
        <f t="shared" si="2"/>
        <v>0.61999999999999922</v>
      </c>
      <c r="AP6" s="4">
        <f t="shared" si="3"/>
        <v>18.019999999999982</v>
      </c>
      <c r="AQ6" s="4">
        <f t="shared" si="4"/>
        <v>46.72</v>
      </c>
      <c r="AR6" s="4">
        <f t="shared" si="5"/>
        <v>46.7</v>
      </c>
      <c r="AS6" s="4">
        <f t="shared" si="6"/>
        <v>442.01</v>
      </c>
      <c r="AT6" s="4">
        <f t="shared" si="7"/>
        <v>23.16</v>
      </c>
      <c r="AU6" s="4">
        <f t="shared" si="8"/>
        <v>50</v>
      </c>
      <c r="AV6" s="6">
        <f t="shared" si="9"/>
        <v>0</v>
      </c>
      <c r="AW6" s="6">
        <f t="shared" si="10"/>
        <v>0</v>
      </c>
      <c r="AX6" s="6">
        <f t="shared" si="11"/>
        <v>0</v>
      </c>
      <c r="AY6" s="6">
        <f t="shared" si="22"/>
        <v>130</v>
      </c>
      <c r="AZ6" s="6">
        <f t="shared" si="12"/>
        <v>20</v>
      </c>
      <c r="BA6" s="6">
        <f t="shared" si="23"/>
        <v>0</v>
      </c>
      <c r="BB6" s="6">
        <f t="shared" si="24"/>
        <v>0</v>
      </c>
      <c r="BC6" s="6">
        <f t="shared" si="25"/>
        <v>0</v>
      </c>
      <c r="BD6" s="6">
        <f t="shared" si="13"/>
        <v>-64.194424999999995</v>
      </c>
      <c r="BF6" s="3">
        <f t="shared" si="26"/>
        <v>813.03557499999988</v>
      </c>
      <c r="BG6" s="3">
        <f ca="1">BF6*Resumen!$P$14*((TODAY()-(A6+30))/360)</f>
        <v>359.58576061955551</v>
      </c>
    </row>
    <row r="7" spans="1:59" x14ac:dyDescent="0.25">
      <c r="A7" s="7">
        <v>43221</v>
      </c>
      <c r="B7" s="9">
        <f>IF(Resumen!$B$14="Código",IF(A7&lt;DATE(2021,7,1),Resumen!$B$7,Resumen!$B$7+300),IF(A7&lt;DATE(2022,3,1),Resumen!$B$7,Resumen!$B$7+300))</f>
        <v>1212</v>
      </c>
      <c r="C7" s="77">
        <v>6.97</v>
      </c>
      <c r="D7" s="77">
        <v>9</v>
      </c>
      <c r="E7" s="4">
        <f t="shared" si="14"/>
        <v>52.8</v>
      </c>
      <c r="F7" s="4">
        <f t="shared" si="15"/>
        <v>90.9</v>
      </c>
      <c r="G7" s="4">
        <f>IF(Resumen!$B$14="Código",IF(A7&lt;DATE(2021,7,1),(Resumen!$B$7*0.25%)*DATEDIF("1/1/2009",A7,"y"),IF(Resumen!$B$9="Sí",(((B7*0.03)+(VLOOKUP(YEAR(A7),Resumen!$O$7:$P$12,2,0)*0.05))*DATEDIF(MAX("1/5/2008",Resumen!$B$6),A7,"y")),(((B7*0.03)+(VLOOKUP(YEAR(A7),Resumen!$O$7:$P$12,2,0)*0.05))*DATEDIF(Resumen!$B$6,A7,"y")))),IF(A7&lt;DATE(2022,3,1),(Resumen!$B$7*0.25%)*DATEDIF("1/1/2009",A7,"y"),IF(Resumen!$B$9="Sí",(((B7*0.03)+(VLOOKUP(YEAR(A7),Resumen!$O$7:$P$12,2,0)*0.05))*DATEDIF(MAX("1/5/2008",Resumen!$B$6),A7,"y")),(((B7*0.03)+(VLOOKUP(YEAR(A7),Resumen!$O$7:$P$12,2,0)*0.05))*DATEDIF(Resumen!$B$6,A7,"y")))))</f>
        <v>27.270000000000003</v>
      </c>
      <c r="H7" s="4">
        <f t="shared" si="16"/>
        <v>115.25</v>
      </c>
      <c r="I7" s="4">
        <f t="shared" si="17"/>
        <v>115.2</v>
      </c>
      <c r="J7" s="1">
        <f>IF(Resumen!$B$14="Código",IF(A7&lt;DATE(2021,7,1),0,(0.03*(VLOOKUP(YEAR(A7),Resumen!$O$7:$P$12,2,0))*Resumen!$B$8)),IF(A7&lt;DATE(2022,3,1),0,(0.03*(VLOOKUP(YEAR(A7),Resumen!$O$7:$P$12,2,0))*Resumen!$B$8)))</f>
        <v>0</v>
      </c>
      <c r="K7" s="1">
        <f>IF(Resumen!$B$14="Código",IF(A7&lt;DATE(2021,7,1),0,50),IF(A7&lt;DATE(2022,3,1),0,50))</f>
        <v>0</v>
      </c>
      <c r="L7" s="1">
        <v>0</v>
      </c>
      <c r="M7" s="1">
        <v>0</v>
      </c>
      <c r="N7" s="1">
        <v>0</v>
      </c>
      <c r="O7" s="1">
        <v>0</v>
      </c>
      <c r="P7" s="1">
        <v>0</v>
      </c>
      <c r="Q7" s="1">
        <f>IF(Resumen!$B$14="Código",(B7+E7+F7+G7)*9.45%*-1,(B7+E7+F7+G7)*11.45%*-1)</f>
        <v>-158.350065</v>
      </c>
      <c r="R7" s="3"/>
      <c r="S7" s="9">
        <f t="shared" si="27"/>
        <v>1312</v>
      </c>
      <c r="T7" s="4">
        <f t="shared" si="18"/>
        <v>57.15</v>
      </c>
      <c r="U7" s="4">
        <f t="shared" si="19"/>
        <v>98.4</v>
      </c>
      <c r="V7" s="4">
        <f t="shared" si="20"/>
        <v>161.4</v>
      </c>
      <c r="W7" s="4">
        <f t="shared" si="21"/>
        <v>161.34</v>
      </c>
      <c r="X7" s="4">
        <f>(0.03*(VLOOKUP(YEAR(A7),Resumen!$O$7:$P$12,2,0))*Resumen!$B$8)</f>
        <v>23.16</v>
      </c>
      <c r="Y7" s="4">
        <f>(((S7*0.03)+(VLOOKUP(YEAR(A7),Resumen!$O$7:$P$12,2,0)*0.05))*DATEDIF(Resumen!$B$6,A7,"y"))</f>
        <v>469.28</v>
      </c>
      <c r="Z7" s="3">
        <v>50</v>
      </c>
      <c r="AA7" s="1">
        <f>IF(DATEDIF(Resumen!$B$6,A7,"M")/12=5,S7/2,IF(DATEDIF(Resumen!$B$6,A7,"M")/12=10,S7,IF(DATEDIF(Resumen!$B$6,A7,"M")/12=15,S7*1.5,IF(DATEDIF(Resumen!$B$6,A7,"M")/12=20,S7*2,IF(DATEDIF(Resumen!$B$6,A7,"M")/12=25,S7*2.5,IF(DATEDIF(Resumen!$B$6,A7,"M")/12=30,S7*3,0))))))</f>
        <v>0</v>
      </c>
      <c r="AB7" s="19">
        <f>(IF(Resumen!$B$20="Sí",IF(Resumen!$C$20&lt;=A7,IF(DATEDIF(Resumen!$C$20,A7,"Y")&lt;8,VLOOKUP(YEAR(A7),Resumen!$O$7:$P$12,2,0),0),0),0))+(IF(Resumen!$B$21="Sí",IF(Resumen!$C$21&lt;=A7,IF(DATEDIF(Resumen!$C$21,A7,"Y")&lt;8,VLOOKUP(YEAR(A7),Resumen!$O$7:$P$12,2,0),0),0),0))</f>
        <v>0</v>
      </c>
      <c r="AC7" s="1">
        <f>IF(MONTH(A7)=12,VLOOKUP(YEAR(A7),Resumen!$O$7:$P$12,2,0),0)</f>
        <v>0</v>
      </c>
      <c r="AD7" s="1">
        <f t="shared" si="0"/>
        <v>0</v>
      </c>
      <c r="AE7" s="19">
        <f>(IF(Resumen!$B$25="Sí",IF(DATE(YEAR(Resumen!$C$25),MONTH(Resumen!$C$25),1)=A7,1000,0)+(IF(Resumen!$B$26="Sí",IF(DATE(YEAR(Resumen!$C$26),MONTH(Resumen!$C$26),1)=A7,1000,0),0)),0))</f>
        <v>0</v>
      </c>
      <c r="AF7" s="1">
        <v>0</v>
      </c>
      <c r="AG7" s="1">
        <v>0</v>
      </c>
      <c r="AH7" s="19">
        <v>130</v>
      </c>
      <c r="AI7" s="1">
        <f>IF(MONTH(A7)=1,(VLOOKUP(YEAR(A7),Resumen!$O$7:$P$12,2,0))*3,0)</f>
        <v>0</v>
      </c>
      <c r="AJ7" s="19">
        <f>IF(MONTH(A7)=12,(15+DATEDIF(Resumen!$B$6,A7,"y"))*50,0)</f>
        <v>0</v>
      </c>
      <c r="AK7" s="5">
        <f>IF(Resumen!$B$13="No",IF(Resumen!$B$12="No",20,100),0)</f>
        <v>20</v>
      </c>
      <c r="AL7" s="1">
        <f>IF(Resumen!$B$14="Código",(S7+T7+U7+Y7)*9.45%*-1,(S7+T7+U7+Y7)*11.45%*-1)</f>
        <v>-221.76703499999999</v>
      </c>
      <c r="AN7" s="3">
        <f t="shared" si="1"/>
        <v>100</v>
      </c>
      <c r="AO7" s="4">
        <f t="shared" si="2"/>
        <v>4.3500000000000014</v>
      </c>
      <c r="AP7" s="4">
        <f t="shared" si="3"/>
        <v>7.5</v>
      </c>
      <c r="AQ7" s="4">
        <f t="shared" si="4"/>
        <v>46.150000000000006</v>
      </c>
      <c r="AR7" s="4">
        <f t="shared" si="5"/>
        <v>46.14</v>
      </c>
      <c r="AS7" s="4">
        <f t="shared" si="6"/>
        <v>442.01</v>
      </c>
      <c r="AT7" s="4">
        <f t="shared" si="7"/>
        <v>23.16</v>
      </c>
      <c r="AU7" s="4">
        <f t="shared" si="8"/>
        <v>50</v>
      </c>
      <c r="AV7" s="6">
        <f t="shared" si="9"/>
        <v>0</v>
      </c>
      <c r="AW7" s="6">
        <f t="shared" si="10"/>
        <v>0</v>
      </c>
      <c r="AX7" s="6">
        <f t="shared" si="11"/>
        <v>0</v>
      </c>
      <c r="AY7" s="6">
        <f t="shared" si="22"/>
        <v>130</v>
      </c>
      <c r="AZ7" s="6">
        <f t="shared" si="12"/>
        <v>20</v>
      </c>
      <c r="BA7" s="6">
        <f t="shared" si="23"/>
        <v>0</v>
      </c>
      <c r="BB7" s="6">
        <f t="shared" si="24"/>
        <v>0</v>
      </c>
      <c r="BC7" s="6">
        <f t="shared" si="25"/>
        <v>0</v>
      </c>
      <c r="BD7" s="6">
        <f t="shared" si="13"/>
        <v>-63.416969999999992</v>
      </c>
      <c r="BF7" s="3">
        <f t="shared" si="26"/>
        <v>805.89302999999995</v>
      </c>
      <c r="BG7" s="3">
        <f ca="1">BF7*Resumen!$P$14*((TODAY()-(A7+30))/360)</f>
        <v>350.40945293760001</v>
      </c>
    </row>
    <row r="8" spans="1:59" x14ac:dyDescent="0.25">
      <c r="A8" s="7">
        <v>43252</v>
      </c>
      <c r="B8" s="9">
        <f>IF(Resumen!$B$14="Código",IF(A8&lt;DATE(2021,7,1),Resumen!$B$7,Resumen!$B$7+300),IF(A8&lt;DATE(2022,3,1),Resumen!$B$7,Resumen!$B$7+300))</f>
        <v>1212</v>
      </c>
      <c r="C8" s="77">
        <v>0</v>
      </c>
      <c r="D8" s="77">
        <v>13.7</v>
      </c>
      <c r="E8" s="4">
        <f t="shared" si="14"/>
        <v>0</v>
      </c>
      <c r="F8" s="4">
        <f t="shared" si="15"/>
        <v>138.37</v>
      </c>
      <c r="G8" s="4">
        <f>IF(Resumen!$B$14="Código",IF(A8&lt;DATE(2021,7,1),(Resumen!$B$7*0.25%)*DATEDIF("1/1/2009",A8,"y"),IF(Resumen!$B$9="Sí",(((B8*0.03)+(VLOOKUP(YEAR(A8),Resumen!$O$7:$P$12,2,0)*0.05))*DATEDIF(MAX("1/5/2008",Resumen!$B$6),A8,"y")),(((B8*0.03)+(VLOOKUP(YEAR(A8),Resumen!$O$7:$P$12,2,0)*0.05))*DATEDIF(Resumen!$B$6,A8,"y")))),IF(A8&lt;DATE(2022,3,1),(Resumen!$B$7*0.25%)*DATEDIF("1/1/2009",A8,"y"),IF(Resumen!$B$9="Sí",(((B8*0.03)+(VLOOKUP(YEAR(A8),Resumen!$O$7:$P$12,2,0)*0.05))*DATEDIF(MAX("1/5/2008",Resumen!$B$6),A8,"y")),(((B8*0.03)+(VLOOKUP(YEAR(A8),Resumen!$O$7:$P$12,2,0)*0.05))*DATEDIF(Resumen!$B$6,A8,"y")))))</f>
        <v>27.270000000000003</v>
      </c>
      <c r="H8" s="4">
        <f t="shared" si="16"/>
        <v>114.8</v>
      </c>
      <c r="I8" s="4">
        <f t="shared" si="17"/>
        <v>114.76</v>
      </c>
      <c r="J8" s="1">
        <f>IF(Resumen!$B$14="Código",IF(A8&lt;DATE(2021,7,1),0,(0.03*(VLOOKUP(YEAR(A8),Resumen!$O$7:$P$12,2,0))*Resumen!$B$8)),IF(A8&lt;DATE(2022,3,1),0,(0.03*(VLOOKUP(YEAR(A8),Resumen!$O$7:$P$12,2,0))*Resumen!$B$8)))</f>
        <v>0</v>
      </c>
      <c r="K8" s="1">
        <f>IF(Resumen!$B$14="Código",IF(A8&lt;DATE(2021,7,1),0,50),IF(A8&lt;DATE(2022,3,1),0,50))</f>
        <v>0</v>
      </c>
      <c r="L8" s="1">
        <v>0</v>
      </c>
      <c r="M8" s="1">
        <v>0</v>
      </c>
      <c r="N8" s="1">
        <v>0</v>
      </c>
      <c r="O8" s="1">
        <v>0</v>
      </c>
      <c r="P8" s="1">
        <v>0</v>
      </c>
      <c r="Q8" s="1">
        <f>IF(Resumen!$B$14="Código",(B8+E8+F8+G8)*9.45%*-1,(B8+E8+F8+G8)*11.45%*-1)</f>
        <v>-157.73977999999997</v>
      </c>
      <c r="R8" s="3"/>
      <c r="S8" s="9">
        <f t="shared" si="27"/>
        <v>1312</v>
      </c>
      <c r="T8" s="4">
        <f t="shared" si="18"/>
        <v>0</v>
      </c>
      <c r="U8" s="4">
        <f t="shared" si="19"/>
        <v>149.79</v>
      </c>
      <c r="V8" s="4">
        <f t="shared" si="20"/>
        <v>160.91999999999999</v>
      </c>
      <c r="W8" s="4">
        <f t="shared" si="21"/>
        <v>160.86000000000001</v>
      </c>
      <c r="X8" s="4">
        <f>(0.03*(VLOOKUP(YEAR(A8),Resumen!$O$7:$P$12,2,0))*Resumen!$B$8)</f>
        <v>23.16</v>
      </c>
      <c r="Y8" s="4">
        <f>(((S8*0.03)+(VLOOKUP(YEAR(A8),Resumen!$O$7:$P$12,2,0)*0.05))*DATEDIF(Resumen!$B$6,A8,"y"))</f>
        <v>469.28</v>
      </c>
      <c r="Z8" s="3">
        <v>50</v>
      </c>
      <c r="AA8" s="1">
        <f>IF(DATEDIF(Resumen!$B$6,A8,"M")/12=5,S8/2,IF(DATEDIF(Resumen!$B$6,A8,"M")/12=10,S8,IF(DATEDIF(Resumen!$B$6,A8,"M")/12=15,S8*1.5,IF(DATEDIF(Resumen!$B$6,A8,"M")/12=20,S8*2,IF(DATEDIF(Resumen!$B$6,A8,"M")/12=25,S8*2.5,IF(DATEDIF(Resumen!$B$6,A8,"M")/12=30,S8*3,0))))))</f>
        <v>0</v>
      </c>
      <c r="AB8" s="19">
        <f>(IF(Resumen!$B$20="Sí",IF(Resumen!$C$20&lt;=A8,IF(DATEDIF(Resumen!$C$20,A8,"Y")&lt;8,VLOOKUP(YEAR(A8),Resumen!$O$7:$P$12,2,0),0),0),0))+(IF(Resumen!$B$21="Sí",IF(Resumen!$C$21&lt;=A8,IF(DATEDIF(Resumen!$C$21,A8,"Y")&lt;8,VLOOKUP(YEAR(A8),Resumen!$O$7:$P$12,2,0),0),0),0))</f>
        <v>0</v>
      </c>
      <c r="AC8" s="1">
        <f>IF(MONTH(A8)=12,VLOOKUP(YEAR(A8),Resumen!$O$7:$P$12,2,0),0)</f>
        <v>0</v>
      </c>
      <c r="AD8" s="1">
        <f t="shared" si="0"/>
        <v>0</v>
      </c>
      <c r="AE8" s="19">
        <f>(IF(Resumen!$B$25="Sí",IF(DATE(YEAR(Resumen!$C$25),MONTH(Resumen!$C$25),1)=A8,1000,0)+(IF(Resumen!$B$26="Sí",IF(DATE(YEAR(Resumen!$C$26),MONTH(Resumen!$C$26),1)=A8,1000,0),0)),0))</f>
        <v>0</v>
      </c>
      <c r="AF8" s="1">
        <v>0</v>
      </c>
      <c r="AG8" s="1">
        <v>0</v>
      </c>
      <c r="AH8" s="19">
        <v>130</v>
      </c>
      <c r="AI8" s="1">
        <f>IF(MONTH(A8)=1,(VLOOKUP(YEAR(A8),Resumen!$O$7:$P$12,2,0))*3,0)</f>
        <v>0</v>
      </c>
      <c r="AJ8" s="19">
        <f>IF(MONTH(A8)=12,(15+DATEDIF(Resumen!$B$6,A8,"y"))*50,0)</f>
        <v>0</v>
      </c>
      <c r="AK8" s="5">
        <f>IF(Resumen!$B$13="No",IF(Resumen!$B$12="No",20,100),0)</f>
        <v>20</v>
      </c>
      <c r="AL8" s="1">
        <f>IF(Resumen!$B$14="Código",(S8+T8+U8+Y8)*9.45%*-1,(S8+T8+U8+Y8)*11.45%*-1)</f>
        <v>-221.10751499999998</v>
      </c>
      <c r="AN8" s="3">
        <f t="shared" si="1"/>
        <v>100</v>
      </c>
      <c r="AO8" s="4">
        <f t="shared" si="2"/>
        <v>0</v>
      </c>
      <c r="AP8" s="4">
        <f t="shared" si="3"/>
        <v>11.419999999999987</v>
      </c>
      <c r="AQ8" s="4">
        <f t="shared" si="4"/>
        <v>46.11999999999999</v>
      </c>
      <c r="AR8" s="4">
        <f t="shared" si="5"/>
        <v>46.100000000000009</v>
      </c>
      <c r="AS8" s="4">
        <f t="shared" si="6"/>
        <v>442.01</v>
      </c>
      <c r="AT8" s="4">
        <f t="shared" si="7"/>
        <v>23.16</v>
      </c>
      <c r="AU8" s="4">
        <f t="shared" si="8"/>
        <v>50</v>
      </c>
      <c r="AV8" s="6">
        <f t="shared" si="9"/>
        <v>0</v>
      </c>
      <c r="AW8" s="6">
        <f t="shared" si="10"/>
        <v>0</v>
      </c>
      <c r="AX8" s="6">
        <f t="shared" si="11"/>
        <v>0</v>
      </c>
      <c r="AY8" s="6">
        <f t="shared" si="22"/>
        <v>130</v>
      </c>
      <c r="AZ8" s="6">
        <f t="shared" si="12"/>
        <v>20</v>
      </c>
      <c r="BA8" s="6">
        <f t="shared" si="23"/>
        <v>0</v>
      </c>
      <c r="BB8" s="6">
        <f t="shared" si="24"/>
        <v>0</v>
      </c>
      <c r="BC8" s="6">
        <f t="shared" si="25"/>
        <v>0</v>
      </c>
      <c r="BD8" s="6">
        <f t="shared" si="13"/>
        <v>-63.36773500000001</v>
      </c>
      <c r="BF8" s="3">
        <f t="shared" si="26"/>
        <v>805.44226499999991</v>
      </c>
      <c r="BG8" s="3">
        <f ca="1">BF8*Resumen!$P$14*((TODAY()-(A8+30))/360)</f>
        <v>343.99902176639995</v>
      </c>
    </row>
    <row r="9" spans="1:59" x14ac:dyDescent="0.25">
      <c r="A9" s="7">
        <v>43282</v>
      </c>
      <c r="B9" s="9">
        <f>IF(Resumen!$B$14="Código",IF(A9&lt;DATE(2021,7,1),Resumen!$B$7,Resumen!$B$7+300),IF(A9&lt;DATE(2022,3,1),Resumen!$B$7,Resumen!$B$7+300))</f>
        <v>1212</v>
      </c>
      <c r="C9" s="77">
        <v>12</v>
      </c>
      <c r="D9" s="77">
        <v>16</v>
      </c>
      <c r="E9" s="4">
        <f t="shared" si="14"/>
        <v>90.9</v>
      </c>
      <c r="F9" s="4">
        <f t="shared" si="15"/>
        <v>161.6</v>
      </c>
      <c r="G9" s="4">
        <f>IF(Resumen!$B$14="Código",IF(A9&lt;DATE(2021,7,1),(Resumen!$B$7*0.25%)*DATEDIF("1/1/2009",A9,"y"),IF(Resumen!$B$9="Sí",(((B9*0.03)+(VLOOKUP(YEAR(A9),Resumen!$O$7:$P$12,2,0)*0.05))*DATEDIF(MAX("1/5/2008",Resumen!$B$6),A9,"y")),(((B9*0.03)+(VLOOKUP(YEAR(A9),Resumen!$O$7:$P$12,2,0)*0.05))*DATEDIF(Resumen!$B$6,A9,"y")))),IF(A9&lt;DATE(2022,3,1),(Resumen!$B$7*0.25%)*DATEDIF("1/1/2009",A9,"y"),IF(Resumen!$B$9="Sí",(((B9*0.03)+(VLOOKUP(YEAR(A9),Resumen!$O$7:$P$12,2,0)*0.05))*DATEDIF(MAX("1/5/2008",Resumen!$B$6),A9,"y")),(((B9*0.03)+(VLOOKUP(YEAR(A9),Resumen!$O$7:$P$12,2,0)*0.05))*DATEDIF(Resumen!$B$6,A9,"y")))))</f>
        <v>27.270000000000003</v>
      </c>
      <c r="H9" s="4">
        <f t="shared" si="16"/>
        <v>124.31</v>
      </c>
      <c r="I9" s="4">
        <f t="shared" si="17"/>
        <v>124.26</v>
      </c>
      <c r="J9" s="1">
        <f>IF(Resumen!$B$14="Código",IF(A9&lt;DATE(2021,7,1),0,(0.03*(VLOOKUP(YEAR(A9),Resumen!$O$7:$P$12,2,0))*Resumen!$B$8)),IF(A9&lt;DATE(2022,3,1),0,(0.03*(VLOOKUP(YEAR(A9),Resumen!$O$7:$P$12,2,0))*Resumen!$B$8)))</f>
        <v>0</v>
      </c>
      <c r="K9" s="1">
        <f>IF(Resumen!$B$14="Código",IF(A9&lt;DATE(2021,7,1),0,50),IF(A9&lt;DATE(2022,3,1),0,50))</f>
        <v>0</v>
      </c>
      <c r="L9" s="1">
        <v>0</v>
      </c>
      <c r="M9" s="1">
        <v>0</v>
      </c>
      <c r="N9" s="1">
        <v>0</v>
      </c>
      <c r="O9" s="1">
        <v>0</v>
      </c>
      <c r="P9" s="1">
        <v>0</v>
      </c>
      <c r="Q9" s="1">
        <f>IF(Resumen!$B$14="Código",(B9+E9+F9+G9)*9.45%*-1,(B9+E9+F9+G9)*11.45%*-1)</f>
        <v>-170.80766499999999</v>
      </c>
      <c r="R9" s="3"/>
      <c r="S9" s="9">
        <f t="shared" si="27"/>
        <v>1312</v>
      </c>
      <c r="T9" s="4">
        <f t="shared" si="18"/>
        <v>98.4</v>
      </c>
      <c r="U9" s="4">
        <f t="shared" si="19"/>
        <v>174.93</v>
      </c>
      <c r="V9" s="4">
        <f t="shared" si="20"/>
        <v>171.22</v>
      </c>
      <c r="W9" s="4">
        <f t="shared" si="21"/>
        <v>171.15</v>
      </c>
      <c r="X9" s="4">
        <f>(0.03*(VLOOKUP(YEAR(A9),Resumen!$O$7:$P$12,2,0))*Resumen!$B$8)</f>
        <v>23.16</v>
      </c>
      <c r="Y9" s="4">
        <f>(((S9*0.03)+(VLOOKUP(YEAR(A9),Resumen!$O$7:$P$12,2,0)*0.05))*DATEDIF(Resumen!$B$6,A9,"y"))</f>
        <v>469.28</v>
      </c>
      <c r="Z9" s="3">
        <v>50</v>
      </c>
      <c r="AA9" s="1">
        <f>IF(DATEDIF(Resumen!$B$6,A9,"M")/12=5,S9/2,IF(DATEDIF(Resumen!$B$6,A9,"M")/12=10,S9,IF(DATEDIF(Resumen!$B$6,A9,"M")/12=15,S9*1.5,IF(DATEDIF(Resumen!$B$6,A9,"M")/12=20,S9*2,IF(DATEDIF(Resumen!$B$6,A9,"M")/12=25,S9*2.5,IF(DATEDIF(Resumen!$B$6,A9,"M")/12=30,S9*3,0))))))</f>
        <v>0</v>
      </c>
      <c r="AB9" s="19">
        <f>(IF(Resumen!$B$20="Sí",IF(Resumen!$C$20&lt;=A9,IF(DATEDIF(Resumen!$C$20,A9,"Y")&lt;8,VLOOKUP(YEAR(A9),Resumen!$O$7:$P$12,2,0),0),0),0))+(IF(Resumen!$B$21="Sí",IF(Resumen!$C$21&lt;=A9,IF(DATEDIF(Resumen!$C$21,A9,"Y")&lt;8,VLOOKUP(YEAR(A9),Resumen!$O$7:$P$12,2,0),0),0),0))</f>
        <v>0</v>
      </c>
      <c r="AC9" s="1">
        <f>IF(MONTH(A9)=12,VLOOKUP(YEAR(A9),Resumen!$O$7:$P$12,2,0),0)</f>
        <v>0</v>
      </c>
      <c r="AD9" s="1">
        <f t="shared" si="0"/>
        <v>0</v>
      </c>
      <c r="AE9" s="19">
        <f>(IF(Resumen!$B$25="Sí",IF(DATE(YEAR(Resumen!$C$25),MONTH(Resumen!$C$25),1)=A9,1000,0)+(IF(Resumen!$B$26="Sí",IF(DATE(YEAR(Resumen!$C$26),MONTH(Resumen!$C$26),1)=A9,1000,0),0)),0))</f>
        <v>0</v>
      </c>
      <c r="AF9" s="1">
        <v>0</v>
      </c>
      <c r="AG9" s="1">
        <v>0</v>
      </c>
      <c r="AH9" s="19">
        <v>130</v>
      </c>
      <c r="AI9" s="1">
        <f>IF(MONTH(A9)=1,(VLOOKUP(YEAR(A9),Resumen!$O$7:$P$12,2,0))*3,0)</f>
        <v>0</v>
      </c>
      <c r="AJ9" s="19">
        <f>IF(MONTH(A9)=12,(15+DATEDIF(Resumen!$B$6,A9,"y"))*50,0)</f>
        <v>0</v>
      </c>
      <c r="AK9" s="5">
        <f>IF(Resumen!$B$13="No",IF(Resumen!$B$12="No",20,100),0)</f>
        <v>20</v>
      </c>
      <c r="AL9" s="1">
        <f>IF(Resumen!$B$14="Código",(S9+T9+U9+Y9)*9.45%*-1,(S9+T9+U9+Y9)*11.45%*-1)</f>
        <v>-235.25284500000001</v>
      </c>
      <c r="AN9" s="3">
        <f t="shared" si="1"/>
        <v>100</v>
      </c>
      <c r="AO9" s="4">
        <f t="shared" si="2"/>
        <v>7.5</v>
      </c>
      <c r="AP9" s="4">
        <f t="shared" si="3"/>
        <v>13.330000000000013</v>
      </c>
      <c r="AQ9" s="4">
        <f t="shared" si="4"/>
        <v>46.91</v>
      </c>
      <c r="AR9" s="4">
        <f t="shared" si="5"/>
        <v>46.89</v>
      </c>
      <c r="AS9" s="4">
        <f t="shared" si="6"/>
        <v>442.01</v>
      </c>
      <c r="AT9" s="4">
        <f t="shared" si="7"/>
        <v>23.16</v>
      </c>
      <c r="AU9" s="4">
        <f t="shared" si="8"/>
        <v>50</v>
      </c>
      <c r="AV9" s="6">
        <f t="shared" si="9"/>
        <v>0</v>
      </c>
      <c r="AW9" s="6">
        <f t="shared" si="10"/>
        <v>0</v>
      </c>
      <c r="AX9" s="6">
        <f t="shared" si="11"/>
        <v>0</v>
      </c>
      <c r="AY9" s="6">
        <f t="shared" si="22"/>
        <v>130</v>
      </c>
      <c r="AZ9" s="6">
        <f t="shared" si="12"/>
        <v>20</v>
      </c>
      <c r="BA9" s="6">
        <f t="shared" si="23"/>
        <v>0</v>
      </c>
      <c r="BB9" s="6">
        <f t="shared" si="24"/>
        <v>0</v>
      </c>
      <c r="BC9" s="6">
        <f t="shared" si="25"/>
        <v>0</v>
      </c>
      <c r="BD9" s="6">
        <f t="shared" si="13"/>
        <v>-64.445180000000022</v>
      </c>
      <c r="BF9" s="3">
        <f t="shared" si="26"/>
        <v>815.3548199999999</v>
      </c>
      <c r="BG9" s="3">
        <f ca="1">BF9*Resumen!$P$14*((TODAY()-(A9+30))/360)</f>
        <v>342.14462526719996</v>
      </c>
    </row>
    <row r="10" spans="1:59" x14ac:dyDescent="0.25">
      <c r="A10" s="7">
        <v>43313</v>
      </c>
      <c r="B10" s="9">
        <f>IF(Resumen!$B$14="Código",IF(A10&lt;DATE(2021,7,1),Resumen!$B$7,Resumen!$B$7+300),IF(A10&lt;DATE(2022,3,1),Resumen!$B$7,Resumen!$B$7+300))</f>
        <v>1212</v>
      </c>
      <c r="C10" s="77">
        <v>12</v>
      </c>
      <c r="D10" s="77">
        <v>15.8</v>
      </c>
      <c r="E10" s="4">
        <f t="shared" si="14"/>
        <v>90.9</v>
      </c>
      <c r="F10" s="4">
        <f t="shared" si="15"/>
        <v>159.58000000000001</v>
      </c>
      <c r="G10" s="4">
        <f>IF(Resumen!$B$14="Código",IF(A10&lt;DATE(2021,7,1),(Resumen!$B$7*0.25%)*DATEDIF("1/1/2009",A10,"y"),IF(Resumen!$B$9="Sí",(((B10*0.03)+(VLOOKUP(YEAR(A10),Resumen!$O$7:$P$12,2,0)*0.05))*DATEDIF(MAX("1/5/2008",Resumen!$B$6),A10,"y")),(((B10*0.03)+(VLOOKUP(YEAR(A10),Resumen!$O$7:$P$12,2,0)*0.05))*DATEDIF(Resumen!$B$6,A10,"y")))),IF(A10&lt;DATE(2022,3,1),(Resumen!$B$7*0.25%)*DATEDIF("1/1/2009",A10,"y"),IF(Resumen!$B$9="Sí",(((B10*0.03)+(VLOOKUP(YEAR(A10),Resumen!$O$7:$P$12,2,0)*0.05))*DATEDIF(MAX("1/5/2008",Resumen!$B$6),A10,"y")),(((B10*0.03)+(VLOOKUP(YEAR(A10),Resumen!$O$7:$P$12,2,0)*0.05))*DATEDIF(Resumen!$B$6,A10,"y")))))</f>
        <v>27.270000000000003</v>
      </c>
      <c r="H10" s="4">
        <f t="shared" si="16"/>
        <v>124.15</v>
      </c>
      <c r="I10" s="4">
        <f t="shared" si="17"/>
        <v>124.1</v>
      </c>
      <c r="J10" s="1">
        <f>IF(Resumen!$B$14="Código",IF(A10&lt;DATE(2021,7,1),0,(0.03*(VLOOKUP(YEAR(A10),Resumen!$O$7:$P$12,2,0))*Resumen!$B$8)),IF(A10&lt;DATE(2022,3,1),0,(0.03*(VLOOKUP(YEAR(A10),Resumen!$O$7:$P$12,2,0))*Resumen!$B$8)))</f>
        <v>0</v>
      </c>
      <c r="K10" s="1">
        <f>IF(Resumen!$B$14="Código",IF(A10&lt;DATE(2021,7,1),0,50),IF(A10&lt;DATE(2022,3,1),0,50))</f>
        <v>0</v>
      </c>
      <c r="L10" s="1">
        <v>0</v>
      </c>
      <c r="M10" s="1">
        <v>0</v>
      </c>
      <c r="N10" s="1">
        <v>0</v>
      </c>
      <c r="O10" s="1">
        <v>0</v>
      </c>
      <c r="P10" s="1">
        <v>0</v>
      </c>
      <c r="Q10" s="1">
        <f>IF(Resumen!$B$14="Código",(B10+E10+F10+G10)*9.45%*-1,(B10+E10+F10+G10)*11.45%*-1)</f>
        <v>-170.57637499999998</v>
      </c>
      <c r="R10" s="3"/>
      <c r="S10" s="9">
        <f t="shared" si="27"/>
        <v>1312</v>
      </c>
      <c r="T10" s="4">
        <f t="shared" si="18"/>
        <v>98.4</v>
      </c>
      <c r="U10" s="4">
        <f t="shared" si="19"/>
        <v>172.75</v>
      </c>
      <c r="V10" s="4">
        <f t="shared" si="20"/>
        <v>171.04</v>
      </c>
      <c r="W10" s="4">
        <f t="shared" si="21"/>
        <v>170.97</v>
      </c>
      <c r="X10" s="4">
        <f>(0.03*(VLOOKUP(YEAR(A10),Resumen!$O$7:$P$12,2,0))*Resumen!$B$8)</f>
        <v>23.16</v>
      </c>
      <c r="Y10" s="4">
        <f>(((S10*0.03)+(VLOOKUP(YEAR(A10),Resumen!$O$7:$P$12,2,0)*0.05))*DATEDIF(Resumen!$B$6,A10,"y"))</f>
        <v>469.28</v>
      </c>
      <c r="Z10" s="3">
        <v>50</v>
      </c>
      <c r="AA10" s="1">
        <f>IF(DATEDIF(Resumen!$B$6,A10,"M")/12=5,S10/2,IF(DATEDIF(Resumen!$B$6,A10,"M")/12=10,S10,IF(DATEDIF(Resumen!$B$6,A10,"M")/12=15,S10*1.5,IF(DATEDIF(Resumen!$B$6,A10,"M")/12=20,S10*2,IF(DATEDIF(Resumen!$B$6,A10,"M")/12=25,S10*2.5,IF(DATEDIF(Resumen!$B$6,A10,"M")/12=30,S10*3,0))))))</f>
        <v>0</v>
      </c>
      <c r="AB10" s="19">
        <f>(IF(Resumen!$B$20="Sí",IF(Resumen!$C$20&lt;=A10,IF(DATEDIF(Resumen!$C$20,A10,"Y")&lt;8,VLOOKUP(YEAR(A10),Resumen!$O$7:$P$12,2,0),0),0),0))+(IF(Resumen!$B$21="Sí",IF(Resumen!$C$21&lt;=A10,IF(DATEDIF(Resumen!$C$21,A10,"Y")&lt;8,VLOOKUP(YEAR(A10),Resumen!$O$7:$P$12,2,0),0),0),0))</f>
        <v>0</v>
      </c>
      <c r="AC10" s="1">
        <f>IF(MONTH(A10)=12,VLOOKUP(YEAR(A10),Resumen!$O$7:$P$12,2,0),0)</f>
        <v>0</v>
      </c>
      <c r="AD10" s="1">
        <f t="shared" si="0"/>
        <v>0</v>
      </c>
      <c r="AE10" s="19">
        <f>(IF(Resumen!$B$25="Sí",IF(DATE(YEAR(Resumen!$C$25),MONTH(Resumen!$C$25),1)=A10,1000,0)+(IF(Resumen!$B$26="Sí",IF(DATE(YEAR(Resumen!$C$26),MONTH(Resumen!$C$26),1)=A10,1000,0),0)),0))</f>
        <v>0</v>
      </c>
      <c r="AF10" s="1">
        <v>0</v>
      </c>
      <c r="AG10" s="1">
        <v>0</v>
      </c>
      <c r="AH10" s="19">
        <v>130</v>
      </c>
      <c r="AI10" s="1">
        <f>IF(MONTH(A10)=1,(VLOOKUP(YEAR(A10),Resumen!$O$7:$P$12,2,0))*3,0)</f>
        <v>0</v>
      </c>
      <c r="AJ10" s="19">
        <f>IF(MONTH(A10)=12,(15+DATEDIF(Resumen!$B$6,A10,"y"))*50,0)</f>
        <v>0</v>
      </c>
      <c r="AK10" s="5">
        <f>IF(Resumen!$B$13="No",IF(Resumen!$B$12="No",20,100),0)</f>
        <v>20</v>
      </c>
      <c r="AL10" s="1">
        <f>IF(Resumen!$B$14="Código",(S10+T10+U10+Y10)*9.45%*-1,(S10+T10+U10+Y10)*11.45%*-1)</f>
        <v>-235.00323500000002</v>
      </c>
      <c r="AN10" s="3">
        <f t="shared" si="1"/>
        <v>100</v>
      </c>
      <c r="AO10" s="4">
        <f t="shared" si="2"/>
        <v>7.5</v>
      </c>
      <c r="AP10" s="4">
        <f t="shared" si="3"/>
        <v>13.169999999999987</v>
      </c>
      <c r="AQ10" s="4">
        <f t="shared" si="4"/>
        <v>46.889999999999986</v>
      </c>
      <c r="AR10" s="4">
        <f t="shared" si="5"/>
        <v>46.870000000000005</v>
      </c>
      <c r="AS10" s="4">
        <f t="shared" si="6"/>
        <v>442.01</v>
      </c>
      <c r="AT10" s="4">
        <f t="shared" si="7"/>
        <v>23.16</v>
      </c>
      <c r="AU10" s="4">
        <f t="shared" si="8"/>
        <v>50</v>
      </c>
      <c r="AV10" s="6">
        <f t="shared" si="9"/>
        <v>0</v>
      </c>
      <c r="AW10" s="6">
        <f t="shared" si="10"/>
        <v>0</v>
      </c>
      <c r="AX10" s="6">
        <f t="shared" si="11"/>
        <v>0</v>
      </c>
      <c r="AY10" s="6">
        <f t="shared" si="22"/>
        <v>130</v>
      </c>
      <c r="AZ10" s="6">
        <f t="shared" si="12"/>
        <v>20</v>
      </c>
      <c r="BA10" s="6">
        <f t="shared" si="23"/>
        <v>0</v>
      </c>
      <c r="BB10" s="6">
        <f t="shared" si="24"/>
        <v>0</v>
      </c>
      <c r="BC10" s="6">
        <f t="shared" si="25"/>
        <v>0</v>
      </c>
      <c r="BD10" s="6">
        <f t="shared" si="13"/>
        <v>-64.426860000000033</v>
      </c>
      <c r="BF10" s="3">
        <f t="shared" si="26"/>
        <v>815.17313999999988</v>
      </c>
      <c r="BG10" s="3">
        <f ca="1">BF10*Resumen!$P$14*((TODAY()-(A10+30))/360)</f>
        <v>335.77887384533329</v>
      </c>
    </row>
    <row r="11" spans="1:59" x14ac:dyDescent="0.25">
      <c r="A11" s="7">
        <v>43344</v>
      </c>
      <c r="B11" s="9">
        <f>IF(Resumen!$B$14="Código",IF(A11&lt;DATE(2021,7,1),Resumen!$B$7,Resumen!$B$7+300),IF(A11&lt;DATE(2022,3,1),Resumen!$B$7,Resumen!$B$7+300))</f>
        <v>1212</v>
      </c>
      <c r="C11" s="77">
        <v>14</v>
      </c>
      <c r="D11" s="77">
        <v>15.92</v>
      </c>
      <c r="E11" s="4">
        <f t="shared" si="14"/>
        <v>106.05</v>
      </c>
      <c r="F11" s="4">
        <f t="shared" si="15"/>
        <v>160.79</v>
      </c>
      <c r="G11" s="4">
        <f>IF(Resumen!$B$14="Código",IF(A11&lt;DATE(2021,7,1),(Resumen!$B$7*0.25%)*DATEDIF("1/1/2009",A11,"y"),IF(Resumen!$B$9="Sí",(((B11*0.03)+(VLOOKUP(YEAR(A11),Resumen!$O$7:$P$12,2,0)*0.05))*DATEDIF(MAX("1/5/2008",Resumen!$B$6),A11,"y")),(((B11*0.03)+(VLOOKUP(YEAR(A11),Resumen!$O$7:$P$12,2,0)*0.05))*DATEDIF(Resumen!$B$6,A11,"y")))),IF(A11&lt;DATE(2022,3,1),(Resumen!$B$7*0.25%)*DATEDIF("1/1/2009",A11,"y"),IF(Resumen!$B$9="Sí",(((B11*0.03)+(VLOOKUP(YEAR(A11),Resumen!$O$7:$P$12,2,0)*0.05))*DATEDIF(MAX("1/5/2008",Resumen!$B$6),A11,"y")),(((B11*0.03)+(VLOOKUP(YEAR(A11),Resumen!$O$7:$P$12,2,0)*0.05))*DATEDIF(Resumen!$B$6,A11,"y")))))</f>
        <v>27.270000000000003</v>
      </c>
      <c r="H11" s="4">
        <f t="shared" si="16"/>
        <v>125.51</v>
      </c>
      <c r="I11" s="4">
        <f t="shared" si="17"/>
        <v>125.46</v>
      </c>
      <c r="J11" s="1">
        <f>IF(Resumen!$B$14="Código",IF(A11&lt;DATE(2021,7,1),0,(0.03*(VLOOKUP(YEAR(A11),Resumen!$O$7:$P$12,2,0))*Resumen!$B$8)),IF(A11&lt;DATE(2022,3,1),0,(0.03*(VLOOKUP(YEAR(A11),Resumen!$O$7:$P$12,2,0))*Resumen!$B$8)))</f>
        <v>0</v>
      </c>
      <c r="K11" s="1">
        <f>IF(Resumen!$B$14="Código",IF(A11&lt;DATE(2021,7,1),0,50),IF(A11&lt;DATE(2022,3,1),0,50))</f>
        <v>0</v>
      </c>
      <c r="L11" s="1">
        <v>0</v>
      </c>
      <c r="M11" s="1">
        <v>0</v>
      </c>
      <c r="N11" s="1">
        <v>0</v>
      </c>
      <c r="O11" s="1">
        <v>0</v>
      </c>
      <c r="P11" s="1">
        <v>0</v>
      </c>
      <c r="Q11" s="1">
        <f>IF(Resumen!$B$14="Código",(B11+E11+F11+G11)*9.45%*-1,(B11+E11+F11+G11)*11.45%*-1)</f>
        <v>-172.44959499999999</v>
      </c>
      <c r="R11" s="3"/>
      <c r="S11" s="9">
        <f t="shared" si="27"/>
        <v>1312</v>
      </c>
      <c r="T11" s="4">
        <f t="shared" si="18"/>
        <v>114.8</v>
      </c>
      <c r="U11" s="4">
        <f t="shared" si="19"/>
        <v>174.06</v>
      </c>
      <c r="V11" s="4">
        <f t="shared" si="20"/>
        <v>172.51</v>
      </c>
      <c r="W11" s="4">
        <f t="shared" si="21"/>
        <v>172.44</v>
      </c>
      <c r="X11" s="4">
        <f>(0.03*(VLOOKUP(YEAR(A11),Resumen!$O$7:$P$12,2,0))*Resumen!$B$8)</f>
        <v>23.16</v>
      </c>
      <c r="Y11" s="4">
        <f>(((S11*0.03)+(VLOOKUP(YEAR(A11),Resumen!$O$7:$P$12,2,0)*0.05))*DATEDIF(Resumen!$B$6,A11,"y"))</f>
        <v>469.28</v>
      </c>
      <c r="Z11" s="3">
        <v>50</v>
      </c>
      <c r="AA11" s="1">
        <f>IF(DATEDIF(Resumen!$B$6,A11,"M")/12=5,S11/2,IF(DATEDIF(Resumen!$B$6,A11,"M")/12=10,S11,IF(DATEDIF(Resumen!$B$6,A11,"M")/12=15,S11*1.5,IF(DATEDIF(Resumen!$B$6,A11,"M")/12=20,S11*2,IF(DATEDIF(Resumen!$B$6,A11,"M")/12=25,S11*2.5,IF(DATEDIF(Resumen!$B$6,A11,"M")/12=30,S11*3,0))))))</f>
        <v>0</v>
      </c>
      <c r="AB11" s="19">
        <f>(IF(Resumen!$B$20="Sí",IF(Resumen!$C$20&lt;=A11,IF(DATEDIF(Resumen!$C$20,A11,"Y")&lt;8,VLOOKUP(YEAR(A11),Resumen!$O$7:$P$12,2,0),0),0),0))+(IF(Resumen!$B$21="Sí",IF(Resumen!$C$21&lt;=A11,IF(DATEDIF(Resumen!$C$21,A11,"Y")&lt;8,VLOOKUP(YEAR(A11),Resumen!$O$7:$P$12,2,0),0),0),0))</f>
        <v>0</v>
      </c>
      <c r="AC11" s="1">
        <f>IF(MONTH(A11)=12,VLOOKUP(YEAR(A11),Resumen!$O$7:$P$12,2,0),0)</f>
        <v>0</v>
      </c>
      <c r="AD11" s="1">
        <f t="shared" si="0"/>
        <v>0</v>
      </c>
      <c r="AE11" s="19">
        <f>(IF(Resumen!$B$25="Sí",IF(DATE(YEAR(Resumen!$C$25),MONTH(Resumen!$C$25),1)=A11,1000,0)+(IF(Resumen!$B$26="Sí",IF(DATE(YEAR(Resumen!$C$26),MONTH(Resumen!$C$26),1)=A11,1000,0),0)),0))</f>
        <v>0</v>
      </c>
      <c r="AF11" s="1">
        <v>0</v>
      </c>
      <c r="AG11" s="1">
        <v>0</v>
      </c>
      <c r="AH11" s="19">
        <v>130</v>
      </c>
      <c r="AI11" s="1">
        <f>IF(MONTH(A11)=1,(VLOOKUP(YEAR(A11),Resumen!$O$7:$P$12,2,0))*3,0)</f>
        <v>0</v>
      </c>
      <c r="AJ11" s="19">
        <f>IF(MONTH(A11)=12,(15+DATEDIF(Resumen!$B$6,A11,"y"))*50,0)</f>
        <v>0</v>
      </c>
      <c r="AK11" s="5">
        <f>IF(Resumen!$B$13="No",IF(Resumen!$B$12="No",20,100),0)</f>
        <v>20</v>
      </c>
      <c r="AL11" s="1">
        <f>IF(Resumen!$B$14="Código",(S11+T11+U11+Y11)*9.45%*-1,(S11+T11+U11+Y11)*11.45%*-1)</f>
        <v>-237.03102999999996</v>
      </c>
      <c r="AN11" s="3">
        <f t="shared" si="1"/>
        <v>100</v>
      </c>
      <c r="AO11" s="4">
        <f t="shared" si="2"/>
        <v>8.75</v>
      </c>
      <c r="AP11" s="4">
        <f t="shared" si="3"/>
        <v>13.27000000000001</v>
      </c>
      <c r="AQ11" s="4">
        <f t="shared" si="4"/>
        <v>46.999999999999986</v>
      </c>
      <c r="AR11" s="4">
        <f t="shared" si="5"/>
        <v>46.980000000000004</v>
      </c>
      <c r="AS11" s="4">
        <f t="shared" si="6"/>
        <v>442.01</v>
      </c>
      <c r="AT11" s="4">
        <f t="shared" si="7"/>
        <v>23.16</v>
      </c>
      <c r="AU11" s="4">
        <f t="shared" si="8"/>
        <v>50</v>
      </c>
      <c r="AV11" s="6">
        <f t="shared" si="9"/>
        <v>0</v>
      </c>
      <c r="AW11" s="6">
        <f t="shared" si="10"/>
        <v>0</v>
      </c>
      <c r="AX11" s="6">
        <f t="shared" si="11"/>
        <v>0</v>
      </c>
      <c r="AY11" s="6">
        <f t="shared" si="22"/>
        <v>130</v>
      </c>
      <c r="AZ11" s="6">
        <f t="shared" si="12"/>
        <v>20</v>
      </c>
      <c r="BA11" s="6">
        <f t="shared" si="23"/>
        <v>0</v>
      </c>
      <c r="BB11" s="6">
        <f t="shared" si="24"/>
        <v>0</v>
      </c>
      <c r="BC11" s="6">
        <f t="shared" si="25"/>
        <v>0</v>
      </c>
      <c r="BD11" s="6">
        <f t="shared" si="13"/>
        <v>-64.581434999999971</v>
      </c>
      <c r="BF11" s="3">
        <f t="shared" si="26"/>
        <v>816.58856500000002</v>
      </c>
      <c r="BG11" s="3">
        <f ca="1">BF11*Resumen!$P$14*((TODAY()-(A11+30))/360)</f>
        <v>330.06146869048888</v>
      </c>
    </row>
    <row r="12" spans="1:59" x14ac:dyDescent="0.25">
      <c r="A12" s="7">
        <v>43374</v>
      </c>
      <c r="B12" s="9">
        <f>IF(Resumen!$B$14="Código",IF(A12&lt;DATE(2021,7,1),Resumen!$B$7,Resumen!$B$7+300),IF(A12&lt;DATE(2022,3,1),Resumen!$B$7,Resumen!$B$7+300))</f>
        <v>1212</v>
      </c>
      <c r="C12" s="77">
        <v>12</v>
      </c>
      <c r="D12" s="77">
        <v>15.77</v>
      </c>
      <c r="E12" s="4">
        <f t="shared" si="14"/>
        <v>90.9</v>
      </c>
      <c r="F12" s="4">
        <f t="shared" si="15"/>
        <v>159.28</v>
      </c>
      <c r="G12" s="4">
        <f>IF(Resumen!$B$14="Código",IF(A12&lt;DATE(2021,7,1),(Resumen!$B$7*0.25%)*DATEDIF("1/1/2009",A12,"y"),IF(Resumen!$B$9="Sí",(((B12*0.03)+(VLOOKUP(YEAR(A12),Resumen!$O$7:$P$12,2,0)*0.05))*DATEDIF(MAX("1/5/2008",Resumen!$B$6),A12,"y")),(((B12*0.03)+(VLOOKUP(YEAR(A12),Resumen!$O$7:$P$12,2,0)*0.05))*DATEDIF(Resumen!$B$6,A12,"y")))),IF(A12&lt;DATE(2022,3,1),(Resumen!$B$7*0.25%)*DATEDIF("1/1/2009",A12,"y"),IF(Resumen!$B$9="Sí",(((B12*0.03)+(VLOOKUP(YEAR(A12),Resumen!$O$7:$P$12,2,0)*0.05))*DATEDIF(MAX("1/5/2008",Resumen!$B$6),A12,"y")),(((B12*0.03)+(VLOOKUP(YEAR(A12),Resumen!$O$7:$P$12,2,0)*0.05))*DATEDIF(Resumen!$B$6,A12,"y")))))</f>
        <v>27.270000000000003</v>
      </c>
      <c r="H12" s="4">
        <f t="shared" si="16"/>
        <v>124.12</v>
      </c>
      <c r="I12" s="4">
        <f t="shared" si="17"/>
        <v>124.07</v>
      </c>
      <c r="J12" s="1">
        <f>IF(Resumen!$B$14="Código",IF(A12&lt;DATE(2021,7,1),0,(0.03*(VLOOKUP(YEAR(A12),Resumen!$O$7:$P$12,2,0))*Resumen!$B$8)),IF(A12&lt;DATE(2022,3,1),0,(0.03*(VLOOKUP(YEAR(A12),Resumen!$O$7:$P$12,2,0))*Resumen!$B$8)))</f>
        <v>0</v>
      </c>
      <c r="K12" s="1">
        <f>IF(Resumen!$B$14="Código",IF(A12&lt;DATE(2021,7,1),0,50),IF(A12&lt;DATE(2022,3,1),0,50))</f>
        <v>0</v>
      </c>
      <c r="L12" s="1">
        <v>0</v>
      </c>
      <c r="M12" s="1">
        <v>0</v>
      </c>
      <c r="N12" s="1">
        <v>0</v>
      </c>
      <c r="O12" s="1">
        <v>0</v>
      </c>
      <c r="P12" s="1">
        <v>0</v>
      </c>
      <c r="Q12" s="1">
        <f>IF(Resumen!$B$14="Código",(B12+E12+F12+G12)*9.45%*-1,(B12+E12+F12+G12)*11.45%*-1)</f>
        <v>-170.542025</v>
      </c>
      <c r="R12" s="3"/>
      <c r="S12" s="9">
        <f t="shared" si="27"/>
        <v>1312</v>
      </c>
      <c r="T12" s="4">
        <f t="shared" si="18"/>
        <v>98.4</v>
      </c>
      <c r="U12" s="4">
        <f t="shared" si="19"/>
        <v>172.42</v>
      </c>
      <c r="V12" s="4">
        <f t="shared" si="20"/>
        <v>171.01</v>
      </c>
      <c r="W12" s="4">
        <f t="shared" si="21"/>
        <v>170.94</v>
      </c>
      <c r="X12" s="4">
        <f>(0.03*(VLOOKUP(YEAR(A12),Resumen!$O$7:$P$12,2,0))*Resumen!$B$8)</f>
        <v>23.16</v>
      </c>
      <c r="Y12" s="4">
        <f>(((S12*0.03)+(VLOOKUP(YEAR(A12),Resumen!$O$7:$P$12,2,0)*0.05))*DATEDIF(Resumen!$B$6,A12,"y"))</f>
        <v>469.28</v>
      </c>
      <c r="Z12" s="3">
        <v>50</v>
      </c>
      <c r="AA12" s="1">
        <f>IF(DATEDIF(Resumen!$B$6,A12,"M")/12=5,S12/2,IF(DATEDIF(Resumen!$B$6,A12,"M")/12=10,S12,IF(DATEDIF(Resumen!$B$6,A12,"M")/12=15,S12*1.5,IF(DATEDIF(Resumen!$B$6,A12,"M")/12=20,S12*2,IF(DATEDIF(Resumen!$B$6,A12,"M")/12=25,S12*2.5,IF(DATEDIF(Resumen!$B$6,A12,"M")/12=30,S12*3,0))))))</f>
        <v>0</v>
      </c>
      <c r="AB12" s="19">
        <f>(IF(Resumen!$B$20="Sí",IF(Resumen!$C$20&lt;=A12,IF(DATEDIF(Resumen!$C$20,A12,"Y")&lt;8,VLOOKUP(YEAR(A12),Resumen!$O$7:$P$12,2,0),0),0),0))+(IF(Resumen!$B$21="Sí",IF(Resumen!$C$21&lt;=A12,IF(DATEDIF(Resumen!$C$21,A12,"Y")&lt;8,VLOOKUP(YEAR(A12),Resumen!$O$7:$P$12,2,0),0),0),0))</f>
        <v>0</v>
      </c>
      <c r="AC12" s="1">
        <f>IF(MONTH(A12)=12,VLOOKUP(YEAR(A12),Resumen!$O$7:$P$12,2,0),0)</f>
        <v>0</v>
      </c>
      <c r="AD12" s="1">
        <f t="shared" si="0"/>
        <v>0</v>
      </c>
      <c r="AE12" s="19">
        <f>(IF(Resumen!$B$25="Sí",IF(DATE(YEAR(Resumen!$C$25),MONTH(Resumen!$C$25),1)=A12,1000,0)+(IF(Resumen!$B$26="Sí",IF(DATE(YEAR(Resumen!$C$26),MONTH(Resumen!$C$26),1)=A12,1000,0),0)),0))</f>
        <v>0</v>
      </c>
      <c r="AF12" s="1">
        <v>0</v>
      </c>
      <c r="AG12" s="1">
        <v>0</v>
      </c>
      <c r="AH12" s="19">
        <v>130</v>
      </c>
      <c r="AI12" s="1">
        <f>IF(MONTH(A12)=1,(VLOOKUP(YEAR(A12),Resumen!$O$7:$P$12,2,0))*3,0)</f>
        <v>0</v>
      </c>
      <c r="AJ12" s="19">
        <f>IF(MONTH(A12)=12,(15+DATEDIF(Resumen!$B$6,A12,"y"))*50,0)</f>
        <v>0</v>
      </c>
      <c r="AK12" s="5">
        <f>IF(Resumen!$B$13="No",IF(Resumen!$B$12="No",20,100),0)</f>
        <v>20</v>
      </c>
      <c r="AL12" s="1">
        <f>IF(Resumen!$B$14="Código",(S12+T12+U12+Y12)*9.45%*-1,(S12+T12+U12+Y12)*11.45%*-1)</f>
        <v>-234.96545000000003</v>
      </c>
      <c r="AN12" s="3">
        <f t="shared" si="1"/>
        <v>100</v>
      </c>
      <c r="AO12" s="4">
        <f t="shared" si="2"/>
        <v>7.5</v>
      </c>
      <c r="AP12" s="4">
        <f t="shared" si="3"/>
        <v>13.139999999999986</v>
      </c>
      <c r="AQ12" s="4">
        <f t="shared" si="4"/>
        <v>46.889999999999986</v>
      </c>
      <c r="AR12" s="4">
        <f t="shared" si="5"/>
        <v>46.870000000000005</v>
      </c>
      <c r="AS12" s="4">
        <f t="shared" si="6"/>
        <v>442.01</v>
      </c>
      <c r="AT12" s="4">
        <f t="shared" si="7"/>
        <v>23.16</v>
      </c>
      <c r="AU12" s="4">
        <f t="shared" si="8"/>
        <v>50</v>
      </c>
      <c r="AV12" s="6">
        <f t="shared" si="9"/>
        <v>0</v>
      </c>
      <c r="AW12" s="6">
        <f t="shared" si="10"/>
        <v>0</v>
      </c>
      <c r="AX12" s="6">
        <f t="shared" si="11"/>
        <v>0</v>
      </c>
      <c r="AY12" s="6">
        <f t="shared" si="22"/>
        <v>130</v>
      </c>
      <c r="AZ12" s="6">
        <f t="shared" si="12"/>
        <v>20</v>
      </c>
      <c r="BA12" s="6">
        <f t="shared" si="23"/>
        <v>0</v>
      </c>
      <c r="BB12" s="6">
        <f t="shared" si="24"/>
        <v>0</v>
      </c>
      <c r="BC12" s="6">
        <f t="shared" si="25"/>
        <v>0</v>
      </c>
      <c r="BD12" s="6">
        <f t="shared" si="13"/>
        <v>-64.423425000000037</v>
      </c>
      <c r="BF12" s="3">
        <f t="shared" si="26"/>
        <v>815.14657499999987</v>
      </c>
      <c r="BG12" s="3">
        <f ca="1">BF12*Resumen!$P$14*((TODAY()-(A12+30))/360)</f>
        <v>323.39219498133332</v>
      </c>
    </row>
    <row r="13" spans="1:59" x14ac:dyDescent="0.25">
      <c r="A13" s="7">
        <v>43405</v>
      </c>
      <c r="B13" s="9">
        <f>IF(Resumen!$B$14="Código",IF(A13&lt;DATE(2021,7,1),Resumen!$B$7,Resumen!$B$7+300),IF(A13&lt;DATE(2022,3,1),Resumen!$B$7,Resumen!$B$7+300))</f>
        <v>1212</v>
      </c>
      <c r="C13" s="77">
        <v>13</v>
      </c>
      <c r="D13" s="77">
        <v>15.6</v>
      </c>
      <c r="E13" s="4">
        <f t="shared" si="14"/>
        <v>98.48</v>
      </c>
      <c r="F13" s="4">
        <f t="shared" si="15"/>
        <v>157.56</v>
      </c>
      <c r="G13" s="4">
        <f>IF(Resumen!$B$14="Código",IF(A13&lt;DATE(2021,7,1),(Resumen!$B$7*0.25%)*DATEDIF("1/1/2009",A13,"y"),IF(Resumen!$B$9="Sí",(((B13*0.03)+(VLOOKUP(YEAR(A13),Resumen!$O$7:$P$12,2,0)*0.05))*DATEDIF(MAX("1/5/2008",Resumen!$B$6),A13,"y")),(((B13*0.03)+(VLOOKUP(YEAR(A13),Resumen!$O$7:$P$12,2,0)*0.05))*DATEDIF(Resumen!$B$6,A13,"y")))),IF(A13&lt;DATE(2022,3,1),(Resumen!$B$7*0.25%)*DATEDIF("1/1/2009",A13,"y"),IF(Resumen!$B$9="Sí",(((B13*0.03)+(VLOOKUP(YEAR(A13),Resumen!$O$7:$P$12,2,0)*0.05))*DATEDIF(MAX("1/5/2008",Resumen!$B$6),A13,"y")),(((B13*0.03)+(VLOOKUP(YEAR(A13),Resumen!$O$7:$P$12,2,0)*0.05))*DATEDIF(Resumen!$B$6,A13,"y")))))</f>
        <v>27.270000000000003</v>
      </c>
      <c r="H13" s="4">
        <f t="shared" si="16"/>
        <v>124.61</v>
      </c>
      <c r="I13" s="4">
        <f t="shared" si="17"/>
        <v>124.56</v>
      </c>
      <c r="J13" s="1">
        <f>IF(Resumen!$B$14="Código",IF(A13&lt;DATE(2021,7,1),0,(0.03*(VLOOKUP(YEAR(A13),Resumen!$O$7:$P$12,2,0))*Resumen!$B$8)),IF(A13&lt;DATE(2022,3,1),0,(0.03*(VLOOKUP(YEAR(A13),Resumen!$O$7:$P$12,2,0))*Resumen!$B$8)))</f>
        <v>0</v>
      </c>
      <c r="K13" s="1">
        <f>IF(Resumen!$B$14="Código",IF(A13&lt;DATE(2021,7,1),0,50),IF(A13&lt;DATE(2022,3,1),0,50))</f>
        <v>0</v>
      </c>
      <c r="L13" s="1">
        <v>0</v>
      </c>
      <c r="M13" s="1">
        <v>0</v>
      </c>
      <c r="N13" s="1">
        <v>0</v>
      </c>
      <c r="O13" s="1">
        <v>0</v>
      </c>
      <c r="P13" s="1">
        <v>0</v>
      </c>
      <c r="Q13" s="1">
        <f>IF(Resumen!$B$14="Código",(B13+E13+F13+G13)*9.45%*-1,(B13+E13+F13+G13)*11.45%*-1)</f>
        <v>-171.21299499999998</v>
      </c>
      <c r="R13" s="3"/>
      <c r="S13" s="9">
        <f t="shared" si="27"/>
        <v>1312</v>
      </c>
      <c r="T13" s="4">
        <f t="shared" si="18"/>
        <v>106.6</v>
      </c>
      <c r="U13" s="4">
        <f t="shared" si="19"/>
        <v>170.56</v>
      </c>
      <c r="V13" s="4">
        <f t="shared" si="20"/>
        <v>171.54</v>
      </c>
      <c r="W13" s="4">
        <f t="shared" si="21"/>
        <v>171.47</v>
      </c>
      <c r="X13" s="4">
        <f>(0.03*(VLOOKUP(YEAR(A13),Resumen!$O$7:$P$12,2,0))*Resumen!$B$8)</f>
        <v>23.16</v>
      </c>
      <c r="Y13" s="4">
        <f>(((S13*0.03)+(VLOOKUP(YEAR(A13),Resumen!$O$7:$P$12,2,0)*0.05))*DATEDIF(Resumen!$B$6,A13,"y"))</f>
        <v>469.28</v>
      </c>
      <c r="Z13" s="3">
        <v>50</v>
      </c>
      <c r="AA13" s="1">
        <f>IF(DATEDIF(Resumen!$B$6,A13,"M")/12=5,S13/2,IF(DATEDIF(Resumen!$B$6,A13,"M")/12=10,S13,IF(DATEDIF(Resumen!$B$6,A13,"M")/12=15,S13*1.5,IF(DATEDIF(Resumen!$B$6,A13,"M")/12=20,S13*2,IF(DATEDIF(Resumen!$B$6,A13,"M")/12=25,S13*2.5,IF(DATEDIF(Resumen!$B$6,A13,"M")/12=30,S13*3,0))))))</f>
        <v>0</v>
      </c>
      <c r="AB13" s="19">
        <f>(IF(Resumen!$B$20="Sí",IF(Resumen!$C$20&lt;=A13,IF(DATEDIF(Resumen!$C$20,A13,"Y")&lt;8,VLOOKUP(YEAR(A13),Resumen!$O$7:$P$12,2,0),0),0),0))+(IF(Resumen!$B$21="Sí",IF(Resumen!$C$21&lt;=A13,IF(DATEDIF(Resumen!$C$21,A13,"Y")&lt;8,VLOOKUP(YEAR(A13),Resumen!$O$7:$P$12,2,0),0),0),0))</f>
        <v>0</v>
      </c>
      <c r="AC13" s="1">
        <f>IF(MONTH(A13)=12,VLOOKUP(YEAR(A13),Resumen!$O$7:$P$12,2,0),0)</f>
        <v>0</v>
      </c>
      <c r="AD13" s="1">
        <f t="shared" si="0"/>
        <v>0</v>
      </c>
      <c r="AE13" s="19">
        <f>(IF(Resumen!$B$25="Sí",IF(DATE(YEAR(Resumen!$C$25),MONTH(Resumen!$C$25),1)=A13,1000,0)+(IF(Resumen!$B$26="Sí",IF(DATE(YEAR(Resumen!$C$26),MONTH(Resumen!$C$26),1)=A13,1000,0),0)),0))</f>
        <v>0</v>
      </c>
      <c r="AF13" s="1">
        <v>0</v>
      </c>
      <c r="AG13" s="1">
        <v>0</v>
      </c>
      <c r="AH13" s="19">
        <v>130</v>
      </c>
      <c r="AI13" s="1">
        <f>IF(MONTH(A13)=1,(VLOOKUP(YEAR(A13),Resumen!$O$7:$P$12,2,0))*3,0)</f>
        <v>0</v>
      </c>
      <c r="AJ13" s="19">
        <f>IF(MONTH(A13)=12,(15+DATEDIF(Resumen!$B$6,A13,"y"))*50,0)</f>
        <v>0</v>
      </c>
      <c r="AK13" s="5">
        <f>IF(Resumen!$B$13="No",IF(Resumen!$B$12="No",20,100),0)</f>
        <v>20</v>
      </c>
      <c r="AL13" s="1">
        <f>IF(Resumen!$B$14="Código",(S13+T13+U13+Y13)*9.45%*-1,(S13+T13+U13+Y13)*11.45%*-1)</f>
        <v>-235.69137999999992</v>
      </c>
      <c r="AN13" s="3">
        <f t="shared" si="1"/>
        <v>100</v>
      </c>
      <c r="AO13" s="4">
        <f t="shared" si="2"/>
        <v>8.1199999999999903</v>
      </c>
      <c r="AP13" s="4">
        <f t="shared" si="3"/>
        <v>13</v>
      </c>
      <c r="AQ13" s="4">
        <f t="shared" si="4"/>
        <v>46.929999999999993</v>
      </c>
      <c r="AR13" s="4">
        <f t="shared" si="5"/>
        <v>46.91</v>
      </c>
      <c r="AS13" s="4">
        <f t="shared" si="6"/>
        <v>442.01</v>
      </c>
      <c r="AT13" s="4">
        <f t="shared" si="7"/>
        <v>23.16</v>
      </c>
      <c r="AU13" s="4">
        <f t="shared" si="8"/>
        <v>50</v>
      </c>
      <c r="AV13" s="6">
        <f t="shared" si="9"/>
        <v>0</v>
      </c>
      <c r="AW13" s="6">
        <f t="shared" si="10"/>
        <v>0</v>
      </c>
      <c r="AX13" s="6">
        <f t="shared" si="11"/>
        <v>0</v>
      </c>
      <c r="AY13" s="6">
        <f t="shared" si="22"/>
        <v>130</v>
      </c>
      <c r="AZ13" s="6">
        <f t="shared" si="12"/>
        <v>20</v>
      </c>
      <c r="BA13" s="6">
        <f t="shared" si="23"/>
        <v>0</v>
      </c>
      <c r="BB13" s="6">
        <f t="shared" si="24"/>
        <v>0</v>
      </c>
      <c r="BC13" s="6">
        <f t="shared" si="25"/>
        <v>0</v>
      </c>
      <c r="BD13" s="6">
        <f t="shared" si="13"/>
        <v>-64.478384999999946</v>
      </c>
      <c r="BF13" s="3">
        <f t="shared" si="26"/>
        <v>815.65161499999999</v>
      </c>
      <c r="BG13" s="3">
        <f ca="1">BF13*Resumen!$P$14*((TODAY()-(A13+30))/360)</f>
        <v>317.29935358986666</v>
      </c>
    </row>
    <row r="14" spans="1:59" x14ac:dyDescent="0.25">
      <c r="A14" s="7">
        <v>43435</v>
      </c>
      <c r="B14" s="9">
        <f>IF(Resumen!$B$14="Código",IF(A14&lt;DATE(2021,7,1),Resumen!$B$7,Resumen!$B$7+300),IF(A14&lt;DATE(2022,3,1),Resumen!$B$7,Resumen!$B$7+300))</f>
        <v>1212</v>
      </c>
      <c r="C14" s="77">
        <v>9</v>
      </c>
      <c r="D14" s="77">
        <v>7.78</v>
      </c>
      <c r="E14" s="4">
        <f t="shared" si="14"/>
        <v>68.180000000000007</v>
      </c>
      <c r="F14" s="4">
        <f t="shared" si="15"/>
        <v>78.58</v>
      </c>
      <c r="G14" s="4">
        <f>IF(Resumen!$B$14="Código",IF(A14&lt;DATE(2021,7,1),(Resumen!$B$7*0.25%)*DATEDIF("1/1/2009",A14,"y"),IF(Resumen!$B$9="Sí",(((B14*0.03)+(VLOOKUP(YEAR(A14),Resumen!$O$7:$P$12,2,0)*0.05))*DATEDIF(MAX("1/5/2008",Resumen!$B$6),A14,"y")),(((B14*0.03)+(VLOOKUP(YEAR(A14),Resumen!$O$7:$P$12,2,0)*0.05))*DATEDIF(Resumen!$B$6,A14,"y")))),IF(A14&lt;DATE(2022,3,1),(Resumen!$B$7*0.25%)*DATEDIF("1/1/2009",A14,"y"),IF(Resumen!$B$9="Sí",(((B14*0.03)+(VLOOKUP(YEAR(A14),Resumen!$O$7:$P$12,2,0)*0.05))*DATEDIF(MAX("1/5/2008",Resumen!$B$6),A14,"y")),(((B14*0.03)+(VLOOKUP(YEAR(A14),Resumen!$O$7:$P$12,2,0)*0.05))*DATEDIF(Resumen!$B$6,A14,"y")))))</f>
        <v>27.270000000000003</v>
      </c>
      <c r="H14" s="4">
        <f t="shared" si="16"/>
        <v>115.5</v>
      </c>
      <c r="I14" s="4">
        <f t="shared" si="17"/>
        <v>115.46</v>
      </c>
      <c r="J14" s="1">
        <f>IF(Resumen!$B$14="Código",IF(A14&lt;DATE(2021,7,1),0,(0.03*(VLOOKUP(YEAR(A14),Resumen!$O$7:$P$12,2,0))*Resumen!$B$8)),IF(A14&lt;DATE(2022,3,1),0,(0.03*(VLOOKUP(YEAR(A14),Resumen!$O$7:$P$12,2,0))*Resumen!$B$8)))</f>
        <v>0</v>
      </c>
      <c r="K14" s="1">
        <f>IF(Resumen!$B$14="Código",IF(A14&lt;DATE(2021,7,1),0,50),IF(A14&lt;DATE(2022,3,1),0,50))</f>
        <v>0</v>
      </c>
      <c r="L14" s="1">
        <v>0</v>
      </c>
      <c r="M14" s="1">
        <v>0</v>
      </c>
      <c r="N14" s="1">
        <v>0</v>
      </c>
      <c r="O14" s="1">
        <v>0</v>
      </c>
      <c r="P14" s="1">
        <v>0</v>
      </c>
      <c r="Q14" s="1">
        <f>IF(Resumen!$B$14="Código",(B14+E14+F14+G14)*9.45%*-1,(B14+E14+F14+G14)*11.45%*-1)</f>
        <v>-158.70043499999997</v>
      </c>
      <c r="R14" s="3"/>
      <c r="S14" s="9">
        <f t="shared" si="27"/>
        <v>1312</v>
      </c>
      <c r="T14" s="4">
        <f t="shared" si="18"/>
        <v>73.8</v>
      </c>
      <c r="U14" s="4">
        <f t="shared" si="19"/>
        <v>85.06</v>
      </c>
      <c r="V14" s="4">
        <f t="shared" si="20"/>
        <v>161.68</v>
      </c>
      <c r="W14" s="4">
        <f t="shared" si="21"/>
        <v>161.61000000000001</v>
      </c>
      <c r="X14" s="4">
        <f>(0.03*(VLOOKUP(YEAR(A14),Resumen!$O$7:$P$12,2,0))*Resumen!$B$8)</f>
        <v>23.16</v>
      </c>
      <c r="Y14" s="4">
        <f>(((S14*0.03)+(VLOOKUP(YEAR(A14),Resumen!$O$7:$P$12,2,0)*0.05))*DATEDIF(Resumen!$B$6,A14,"y"))</f>
        <v>469.28</v>
      </c>
      <c r="Z14" s="3">
        <v>50</v>
      </c>
      <c r="AA14" s="1">
        <f>IF(DATEDIF(Resumen!$B$6,A14,"M")/12=5,S14/2,IF(DATEDIF(Resumen!$B$6,A14,"M")/12=10,S14,IF(DATEDIF(Resumen!$B$6,A14,"M")/12=15,S14*1.5,IF(DATEDIF(Resumen!$B$6,A14,"M")/12=20,S14*2,IF(DATEDIF(Resumen!$B$6,A14,"M")/12=25,S14*2.5,IF(DATEDIF(Resumen!$B$6,A14,"M")/12=30,S14*3,0))))))</f>
        <v>0</v>
      </c>
      <c r="AB14" s="19">
        <f>(IF(Resumen!$B$20="Sí",IF(Resumen!$C$20&lt;=A14,IF(DATEDIF(Resumen!$C$20,A14,"Y")&lt;8,VLOOKUP(YEAR(A14),Resumen!$O$7:$P$12,2,0),0),0),0))+(IF(Resumen!$B$21="Sí",IF(Resumen!$C$21&lt;=A14,IF(DATEDIF(Resumen!$C$21,A14,"Y")&lt;8,VLOOKUP(YEAR(A14),Resumen!$O$7:$P$12,2,0),0),0),0))</f>
        <v>0</v>
      </c>
      <c r="AC14" s="1">
        <f>IF(MONTH(A14)=12,VLOOKUP(YEAR(A14),Resumen!$O$7:$P$12,2,0),0)</f>
        <v>386</v>
      </c>
      <c r="AD14" s="1">
        <f t="shared" si="0"/>
        <v>100</v>
      </c>
      <c r="AE14" s="19">
        <f>(IF(Resumen!$B$25="Sí",IF(DATE(YEAR(Resumen!$C$25),MONTH(Resumen!$C$25),1)=A14,1000,0)+(IF(Resumen!$B$26="Sí",IF(DATE(YEAR(Resumen!$C$26),MONTH(Resumen!$C$26),1)=A14,1000,0),0)),0))</f>
        <v>0</v>
      </c>
      <c r="AF14" s="1">
        <v>0</v>
      </c>
      <c r="AG14" s="1">
        <v>0</v>
      </c>
      <c r="AH14" s="19">
        <v>130</v>
      </c>
      <c r="AI14" s="1">
        <f>IF(MONTH(A14)=1,(VLOOKUP(YEAR(A14),Resumen!$O$7:$P$12,2,0))*3,0)</f>
        <v>0</v>
      </c>
      <c r="AJ14" s="19">
        <f>IF(MONTH(A14)=12,(15+DATEDIF(Resumen!$B$6,A14,"y"))*50,0)</f>
        <v>1150</v>
      </c>
      <c r="AK14" s="5">
        <f>IF(Resumen!$B$13="No",IF(Resumen!$B$12="No",20,100),0)</f>
        <v>20</v>
      </c>
      <c r="AL14" s="1">
        <f>IF(Resumen!$B$14="Código",(S14+T14+U14+Y14)*9.45%*-1,(S14+T14+U14+Y14)*11.45%*-1)</f>
        <v>-222.14602999999997</v>
      </c>
      <c r="AN14" s="3">
        <f t="shared" si="1"/>
        <v>100</v>
      </c>
      <c r="AO14" s="4">
        <f t="shared" si="2"/>
        <v>5.6199999999999903</v>
      </c>
      <c r="AP14" s="4">
        <f t="shared" si="3"/>
        <v>6.480000000000004</v>
      </c>
      <c r="AQ14" s="4">
        <f t="shared" si="4"/>
        <v>46.180000000000007</v>
      </c>
      <c r="AR14" s="4">
        <f t="shared" si="5"/>
        <v>46.15000000000002</v>
      </c>
      <c r="AS14" s="4">
        <f t="shared" si="6"/>
        <v>442.01</v>
      </c>
      <c r="AT14" s="4">
        <f t="shared" si="7"/>
        <v>23.16</v>
      </c>
      <c r="AU14" s="4">
        <f t="shared" si="8"/>
        <v>50</v>
      </c>
      <c r="AV14" s="6">
        <f t="shared" si="9"/>
        <v>386</v>
      </c>
      <c r="AW14" s="6">
        <f t="shared" si="10"/>
        <v>100</v>
      </c>
      <c r="AX14" s="6">
        <f t="shared" si="11"/>
        <v>0</v>
      </c>
      <c r="AY14" s="6">
        <f t="shared" si="22"/>
        <v>130</v>
      </c>
      <c r="AZ14" s="6">
        <f t="shared" si="12"/>
        <v>20</v>
      </c>
      <c r="BA14" s="6">
        <f t="shared" si="23"/>
        <v>0</v>
      </c>
      <c r="BB14" s="6">
        <f t="shared" si="24"/>
        <v>0</v>
      </c>
      <c r="BC14" s="6">
        <f t="shared" si="25"/>
        <v>1150</v>
      </c>
      <c r="BD14" s="6">
        <f t="shared" si="13"/>
        <v>-63.445594999999997</v>
      </c>
      <c r="BF14" s="3">
        <f t="shared" si="26"/>
        <v>2442.1544049999998</v>
      </c>
      <c r="BG14" s="3">
        <f ca="1">BF14*Resumen!$P$14*((TODAY()-(A14+30))/360)</f>
        <v>931.79587271306661</v>
      </c>
    </row>
    <row r="15" spans="1:59" x14ac:dyDescent="0.25">
      <c r="A15" s="7">
        <v>43466</v>
      </c>
      <c r="B15" s="9">
        <f>IF(Resumen!$B$14="Código",IF(A15&lt;DATE(2021,7,1),Resumen!$B$7,Resumen!$B$7+300),IF(A15&lt;DATE(2022,3,1),Resumen!$B$7,Resumen!$B$7+300))</f>
        <v>1212</v>
      </c>
      <c r="C15" s="77">
        <v>0</v>
      </c>
      <c r="D15" s="77">
        <v>0</v>
      </c>
      <c r="E15" s="4">
        <f t="shared" si="14"/>
        <v>0</v>
      </c>
      <c r="F15" s="4">
        <f t="shared" si="15"/>
        <v>0</v>
      </c>
      <c r="G15" s="4">
        <f>IF(Resumen!$B$14="Código",IF(A15&lt;DATE(2021,7,1),(Resumen!$B$7*0.25%)*DATEDIF("1/1/2009",A15,"y"),IF(Resumen!$B$9="Sí",(((B15*0.03)+(VLOOKUP(YEAR(A15),Resumen!$O$7:$P$12,2,0)*0.05))*DATEDIF(MAX("1/5/2008",Resumen!$B$6),A15,"y")),(((B15*0.03)+(VLOOKUP(YEAR(A15),Resumen!$O$7:$P$12,2,0)*0.05))*DATEDIF(Resumen!$B$6,A15,"y")))),IF(A15&lt;DATE(2022,3,1),(Resumen!$B$7*0.25%)*DATEDIF("1/1/2009",A15,"y"),IF(Resumen!$B$9="Sí",(((B15*0.03)+(VLOOKUP(YEAR(A15),Resumen!$O$7:$P$12,2,0)*0.05))*DATEDIF(MAX("1/5/2008",Resumen!$B$6),A15,"y")),(((B15*0.03)+(VLOOKUP(YEAR(A15),Resumen!$O$7:$P$12,2,0)*0.05))*DATEDIF(Resumen!$B$6,A15,"y")))))</f>
        <v>30.300000000000004</v>
      </c>
      <c r="H15" s="4">
        <f t="shared" si="16"/>
        <v>103.53</v>
      </c>
      <c r="I15" s="4">
        <f t="shared" si="17"/>
        <v>103.48</v>
      </c>
      <c r="J15" s="1">
        <f>IF(Resumen!$B$14="Código",IF(A15&lt;DATE(2021,7,1),0,(0.03*(VLOOKUP(YEAR(A15),Resumen!$O$7:$P$12,2,0))*Resumen!$B$8)),IF(A15&lt;DATE(2022,3,1),0,(0.03*(VLOOKUP(YEAR(A15),Resumen!$O$7:$P$12,2,0))*Resumen!$B$8)))</f>
        <v>0</v>
      </c>
      <c r="K15" s="1">
        <f>IF(Resumen!$B$14="Código",IF(A15&lt;DATE(2021,7,1),0,50),IF(A15&lt;DATE(2022,3,1),0,50))</f>
        <v>0</v>
      </c>
      <c r="L15" s="1">
        <v>0</v>
      </c>
      <c r="M15" s="1">
        <v>0</v>
      </c>
      <c r="N15" s="1">
        <v>0</v>
      </c>
      <c r="O15" s="1">
        <v>0</v>
      </c>
      <c r="P15" s="1">
        <v>0</v>
      </c>
      <c r="Q15" s="1">
        <f>IF(Resumen!$B$14="Código",(B15+E15+F15+G15)*9.45%*-1,(B15+E15+F15+G15)*11.45%*-1)</f>
        <v>-142.24334999999999</v>
      </c>
      <c r="R15" s="3"/>
      <c r="S15" s="9">
        <f>S14+100</f>
        <v>1412</v>
      </c>
      <c r="T15" s="4">
        <f t="shared" si="18"/>
        <v>0</v>
      </c>
      <c r="U15" s="4">
        <f t="shared" si="19"/>
        <v>0</v>
      </c>
      <c r="V15" s="4">
        <f t="shared" si="20"/>
        <v>159.04</v>
      </c>
      <c r="W15" s="4">
        <f t="shared" si="21"/>
        <v>158.97999999999999</v>
      </c>
      <c r="X15" s="4">
        <f>(0.03*(VLOOKUP(YEAR(A15),Resumen!$O$7:$P$12,2,0))*Resumen!$B$8)</f>
        <v>23.64</v>
      </c>
      <c r="Y15" s="4">
        <f>(((S15*0.03)+(VLOOKUP(YEAR(A15),Resumen!$O$7:$P$12,2,0)*0.05))*DATEDIF(Resumen!$B$6,A15,"y"))</f>
        <v>496.48</v>
      </c>
      <c r="Z15" s="3">
        <v>50</v>
      </c>
      <c r="AA15" s="1">
        <f>IF(DATEDIF(Resumen!$B$6,A15,"M")/12=5,S15/2,IF(DATEDIF(Resumen!$B$6,A15,"M")/12=10,S15,IF(DATEDIF(Resumen!$B$6,A15,"M")/12=15,S15*1.5,IF(DATEDIF(Resumen!$B$6,A15,"M")/12=20,S15*2,IF(DATEDIF(Resumen!$B$6,A15,"M")/12=25,S15*2.5,IF(DATEDIF(Resumen!$B$6,A15,"M")/12=30,S15*3,0))))))</f>
        <v>0</v>
      </c>
      <c r="AB15" s="19">
        <f>(IF(Resumen!$B$20="Sí",IF(Resumen!$C$20&lt;=A15,IF(DATEDIF(Resumen!$C$20,A15,"Y")&lt;8,VLOOKUP(YEAR(A15),Resumen!$O$7:$P$12,2,0),0),0),0))+(IF(Resumen!$B$21="Sí",IF(Resumen!$C$21&lt;=A15,IF(DATEDIF(Resumen!$C$21,A15,"Y")&lt;8,VLOOKUP(YEAR(A15),Resumen!$O$7:$P$12,2,0),0),0),0))</f>
        <v>0</v>
      </c>
      <c r="AC15" s="1">
        <f>IF(MONTH(A15)=12,VLOOKUP(YEAR(A15),Resumen!$O$7:$P$12,2,0),0)</f>
        <v>0</v>
      </c>
      <c r="AD15" s="1">
        <f t="shared" si="0"/>
        <v>0</v>
      </c>
      <c r="AE15" s="19">
        <f>(IF(Resumen!$B$25="Sí",IF(DATE(YEAR(Resumen!$C$25),MONTH(Resumen!$C$25),1)=A15,1000,0)+(IF(Resumen!$B$26="Sí",IF(DATE(YEAR(Resumen!$C$26),MONTH(Resumen!$C$26),1)=A15,1000,0),0)),0))</f>
        <v>0</v>
      </c>
      <c r="AF15" s="1">
        <v>0</v>
      </c>
      <c r="AG15" s="1">
        <v>0</v>
      </c>
      <c r="AH15" s="19">
        <v>130</v>
      </c>
      <c r="AI15" s="1">
        <f>IF(MONTH(A15)=1,(VLOOKUP(YEAR(A15),Resumen!$O$7:$P$12,2,0))*3,0)</f>
        <v>1182</v>
      </c>
      <c r="AJ15" s="19">
        <f>IF(MONTH(A15)=12,(15+DATEDIF(Resumen!$B$6,A15,"y"))*50,0)</f>
        <v>0</v>
      </c>
      <c r="AK15" s="5">
        <f>IF(Resumen!$B$13="No",IF(Resumen!$B$12="No",20,100),0)</f>
        <v>20</v>
      </c>
      <c r="AL15" s="1">
        <f>IF(Resumen!$B$14="Código",(S15+T15+U15+Y15)*9.45%*-1,(S15+T15+U15+Y15)*11.45%*-1)</f>
        <v>-218.52095999999997</v>
      </c>
      <c r="AN15" s="3">
        <f t="shared" si="1"/>
        <v>200</v>
      </c>
      <c r="AO15" s="4">
        <f t="shared" si="2"/>
        <v>0</v>
      </c>
      <c r="AP15" s="4">
        <f t="shared" si="3"/>
        <v>0</v>
      </c>
      <c r="AQ15" s="4">
        <f t="shared" si="4"/>
        <v>55.509999999999991</v>
      </c>
      <c r="AR15" s="4">
        <f t="shared" si="5"/>
        <v>55.499999999999986</v>
      </c>
      <c r="AS15" s="4">
        <f t="shared" si="6"/>
        <v>466.18</v>
      </c>
      <c r="AT15" s="4">
        <f t="shared" si="7"/>
        <v>23.64</v>
      </c>
      <c r="AU15" s="4">
        <f t="shared" si="8"/>
        <v>50</v>
      </c>
      <c r="AV15" s="6">
        <f t="shared" si="9"/>
        <v>0</v>
      </c>
      <c r="AW15" s="6">
        <f t="shared" si="10"/>
        <v>0</v>
      </c>
      <c r="AX15" s="6">
        <f t="shared" si="11"/>
        <v>0</v>
      </c>
      <c r="AY15" s="6">
        <f t="shared" si="22"/>
        <v>130</v>
      </c>
      <c r="AZ15" s="6">
        <f t="shared" si="12"/>
        <v>20</v>
      </c>
      <c r="BA15" s="6">
        <f t="shared" si="23"/>
        <v>0</v>
      </c>
      <c r="BB15" s="6">
        <f t="shared" si="24"/>
        <v>0</v>
      </c>
      <c r="BC15" s="6">
        <f t="shared" si="25"/>
        <v>0</v>
      </c>
      <c r="BD15" s="6">
        <f t="shared" si="13"/>
        <v>-76.277609999999981</v>
      </c>
      <c r="BF15" s="3">
        <f t="shared" si="26"/>
        <v>924.55239000000006</v>
      </c>
      <c r="BG15" s="3">
        <f ca="1">BF15*Resumen!$P$14*((TODAY()-(A15+30))/360)</f>
        <v>345.62644723413337</v>
      </c>
    </row>
    <row r="16" spans="1:59" x14ac:dyDescent="0.25">
      <c r="A16" s="7">
        <v>43497</v>
      </c>
      <c r="B16" s="9">
        <f>IF(Resumen!$B$14="Código",IF(A16&lt;DATE(2021,7,1),Resumen!$B$7,Resumen!$B$7+300),IF(A16&lt;DATE(2022,3,1),Resumen!$B$7,Resumen!$B$7+300))</f>
        <v>1212</v>
      </c>
      <c r="C16" s="77">
        <v>0</v>
      </c>
      <c r="D16" s="77">
        <v>0</v>
      </c>
      <c r="E16" s="4">
        <f t="shared" si="14"/>
        <v>0</v>
      </c>
      <c r="F16" s="4">
        <f t="shared" si="15"/>
        <v>0</v>
      </c>
      <c r="G16" s="4">
        <f>IF(Resumen!$B$14="Código",IF(A16&lt;DATE(2021,7,1),(Resumen!$B$7*0.25%)*DATEDIF("1/1/2009",A16,"y"),IF(Resumen!$B$9="Sí",(((B16*0.03)+(VLOOKUP(YEAR(A16),Resumen!$O$7:$P$12,2,0)*0.05))*DATEDIF(MAX("1/5/2008",Resumen!$B$6),A16,"y")),(((B16*0.03)+(VLOOKUP(YEAR(A16),Resumen!$O$7:$P$12,2,0)*0.05))*DATEDIF(Resumen!$B$6,A16,"y")))),IF(A16&lt;DATE(2022,3,1),(Resumen!$B$7*0.25%)*DATEDIF("1/1/2009",A16,"y"),IF(Resumen!$B$9="Sí",(((B16*0.03)+(VLOOKUP(YEAR(A16),Resumen!$O$7:$P$12,2,0)*0.05))*DATEDIF(MAX("1/5/2008",Resumen!$B$6),A16,"y")),(((B16*0.03)+(VLOOKUP(YEAR(A16),Resumen!$O$7:$P$12,2,0)*0.05))*DATEDIF(Resumen!$B$6,A16,"y")))))</f>
        <v>30.300000000000004</v>
      </c>
      <c r="H16" s="4">
        <f t="shared" si="16"/>
        <v>103.53</v>
      </c>
      <c r="I16" s="4">
        <f t="shared" si="17"/>
        <v>103.48</v>
      </c>
      <c r="J16" s="1">
        <f>IF(Resumen!$B$14="Código",IF(A16&lt;DATE(2021,7,1),0,(0.03*(VLOOKUP(YEAR(A16),Resumen!$O$7:$P$12,2,0))*Resumen!$B$8)),IF(A16&lt;DATE(2022,3,1),0,(0.03*(VLOOKUP(YEAR(A16),Resumen!$O$7:$P$12,2,0))*Resumen!$B$8)))</f>
        <v>0</v>
      </c>
      <c r="K16" s="1">
        <f>IF(Resumen!$B$14="Código",IF(A16&lt;DATE(2021,7,1),0,50),IF(A16&lt;DATE(2022,3,1),0,50))</f>
        <v>0</v>
      </c>
      <c r="L16" s="1">
        <v>0</v>
      </c>
      <c r="M16" s="1">
        <v>0</v>
      </c>
      <c r="N16" s="1">
        <v>0</v>
      </c>
      <c r="O16" s="1">
        <v>0</v>
      </c>
      <c r="P16" s="1">
        <v>0</v>
      </c>
      <c r="Q16" s="1">
        <f>IF(Resumen!$B$14="Código",(B16+E16+F16+G16)*9.45%*-1,(B16+E16+F16+G16)*11.45%*-1)</f>
        <v>-142.24334999999999</v>
      </c>
      <c r="R16" s="3"/>
      <c r="S16" s="9">
        <f>S15</f>
        <v>1412</v>
      </c>
      <c r="T16" s="4">
        <f t="shared" si="18"/>
        <v>0</v>
      </c>
      <c r="U16" s="4">
        <f t="shared" si="19"/>
        <v>0</v>
      </c>
      <c r="V16" s="4">
        <f t="shared" si="20"/>
        <v>164.21</v>
      </c>
      <c r="W16" s="4">
        <f t="shared" si="21"/>
        <v>164.15</v>
      </c>
      <c r="X16" s="4">
        <f>(0.03*(VLOOKUP(YEAR(A16),Resumen!$O$7:$P$12,2,0))*Resumen!$B$8)</f>
        <v>23.64</v>
      </c>
      <c r="Y16" s="4">
        <f>(((S16*0.03)+(VLOOKUP(YEAR(A16),Resumen!$O$7:$P$12,2,0)*0.05))*DATEDIF(Resumen!$B$6,A16,"y"))</f>
        <v>558.54</v>
      </c>
      <c r="Z16" s="3">
        <v>50</v>
      </c>
      <c r="AA16" s="1">
        <f>IF(DATEDIF(Resumen!$B$6,A16,"M")/12=5,S16/2,IF(DATEDIF(Resumen!$B$6,A16,"M")/12=10,S16,IF(DATEDIF(Resumen!$B$6,A16,"M")/12=15,S16*1.5,IF(DATEDIF(Resumen!$B$6,A16,"M")/12=20,S16*2,IF(DATEDIF(Resumen!$B$6,A16,"M")/12=25,S16*2.5,IF(DATEDIF(Resumen!$B$6,A16,"M")/12=30,S16*3,0))))))</f>
        <v>0</v>
      </c>
      <c r="AB16" s="19">
        <f>(IF(Resumen!$B$20="Sí",IF(Resumen!$C$20&lt;=A16,IF(DATEDIF(Resumen!$C$20,A16,"Y")&lt;8,VLOOKUP(YEAR(A16),Resumen!$O$7:$P$12,2,0),0),0),0))+(IF(Resumen!$B$21="Sí",IF(Resumen!$C$21&lt;=A16,IF(DATEDIF(Resumen!$C$21,A16,"Y")&lt;8,VLOOKUP(YEAR(A16),Resumen!$O$7:$P$12,2,0),0),0),0))</f>
        <v>0</v>
      </c>
      <c r="AC16" s="1">
        <f>IF(MONTH(A16)=12,VLOOKUP(YEAR(A16),Resumen!$O$7:$P$12,2,0),0)</f>
        <v>0</v>
      </c>
      <c r="AD16" s="1">
        <f t="shared" si="0"/>
        <v>0</v>
      </c>
      <c r="AE16" s="19">
        <f>(IF(Resumen!$B$25="Sí",IF(DATE(YEAR(Resumen!$C$25),MONTH(Resumen!$C$25),1)=A16,1000,0)+(IF(Resumen!$B$26="Sí",IF(DATE(YEAR(Resumen!$C$26),MONTH(Resumen!$C$26),1)=A16,1000,0),0)),0))</f>
        <v>0</v>
      </c>
      <c r="AF16" s="1">
        <v>0</v>
      </c>
      <c r="AG16" s="1">
        <v>0</v>
      </c>
      <c r="AH16" s="19">
        <v>130</v>
      </c>
      <c r="AI16" s="1">
        <f>IF(MONTH(A16)=1,(VLOOKUP(YEAR(A16),Resumen!$O$7:$P$12,2,0))*3,0)</f>
        <v>0</v>
      </c>
      <c r="AJ16" s="19">
        <f>IF(MONTH(A16)=12,(15+DATEDIF(Resumen!$B$6,A16,"y"))*50,0)</f>
        <v>0</v>
      </c>
      <c r="AK16" s="5">
        <f>IF(Resumen!$B$13="No",IF(Resumen!$B$12="No",20,100),0)</f>
        <v>20</v>
      </c>
      <c r="AL16" s="1">
        <f>IF(Resumen!$B$14="Código",(S16+T16+U16+Y16)*9.45%*-1,(S16+T16+U16+Y16)*11.45%*-1)</f>
        <v>-225.62682999999998</v>
      </c>
      <c r="AN16" s="3">
        <f t="shared" si="1"/>
        <v>200</v>
      </c>
      <c r="AO16" s="4">
        <f t="shared" si="2"/>
        <v>0</v>
      </c>
      <c r="AP16" s="4">
        <f t="shared" si="3"/>
        <v>0</v>
      </c>
      <c r="AQ16" s="4">
        <f t="shared" si="4"/>
        <v>60.680000000000007</v>
      </c>
      <c r="AR16" s="4">
        <f t="shared" si="5"/>
        <v>60.67</v>
      </c>
      <c r="AS16" s="4">
        <f t="shared" si="6"/>
        <v>528.24</v>
      </c>
      <c r="AT16" s="4">
        <f t="shared" si="7"/>
        <v>23.64</v>
      </c>
      <c r="AU16" s="4">
        <f t="shared" si="8"/>
        <v>50</v>
      </c>
      <c r="AV16" s="6">
        <f t="shared" si="9"/>
        <v>0</v>
      </c>
      <c r="AW16" s="6">
        <f t="shared" si="10"/>
        <v>0</v>
      </c>
      <c r="AX16" s="6">
        <f t="shared" si="11"/>
        <v>0</v>
      </c>
      <c r="AY16" s="6">
        <f t="shared" si="22"/>
        <v>130</v>
      </c>
      <c r="AZ16" s="6">
        <f t="shared" si="12"/>
        <v>20</v>
      </c>
      <c r="BA16" s="6">
        <f t="shared" si="23"/>
        <v>0</v>
      </c>
      <c r="BB16" s="6">
        <f t="shared" si="24"/>
        <v>0</v>
      </c>
      <c r="BC16" s="6">
        <f t="shared" si="25"/>
        <v>0</v>
      </c>
      <c r="BD16" s="6">
        <f t="shared" si="13"/>
        <v>-83.383479999999992</v>
      </c>
      <c r="BF16" s="3">
        <f t="shared" si="26"/>
        <v>989.84652000000006</v>
      </c>
      <c r="BG16" s="3">
        <f ca="1">BF16*Resumen!$P$14*((TODAY()-(A16+30))/360)</f>
        <v>362.39820858453334</v>
      </c>
    </row>
    <row r="17" spans="1:59" x14ac:dyDescent="0.25">
      <c r="A17" s="7">
        <v>43525</v>
      </c>
      <c r="B17" s="9">
        <f>IF(Resumen!$B$14="Código",IF(A17&lt;DATE(2021,7,1),Resumen!$B$7,Resumen!$B$7+300),IF(A17&lt;DATE(2022,3,1),Resumen!$B$7,Resumen!$B$7+300))</f>
        <v>1212</v>
      </c>
      <c r="C17" s="77">
        <v>0</v>
      </c>
      <c r="D17" s="77">
        <v>0</v>
      </c>
      <c r="E17" s="4">
        <f t="shared" si="14"/>
        <v>0</v>
      </c>
      <c r="F17" s="4">
        <f t="shared" si="15"/>
        <v>0</v>
      </c>
      <c r="G17" s="4">
        <f>IF(Resumen!$B$14="Código",IF(A17&lt;DATE(2021,7,1),(Resumen!$B$7*0.25%)*DATEDIF("1/1/2009",A17,"y"),IF(Resumen!$B$9="Sí",(((B17*0.03)+(VLOOKUP(YEAR(A17),Resumen!$O$7:$P$12,2,0)*0.05))*DATEDIF(MAX("1/5/2008",Resumen!$B$6),A17,"y")),(((B17*0.03)+(VLOOKUP(YEAR(A17),Resumen!$O$7:$P$12,2,0)*0.05))*DATEDIF(Resumen!$B$6,A17,"y")))),IF(A17&lt;DATE(2022,3,1),(Resumen!$B$7*0.25%)*DATEDIF("1/1/2009",A17,"y"),IF(Resumen!$B$9="Sí",(((B17*0.03)+(VLOOKUP(YEAR(A17),Resumen!$O$7:$P$12,2,0)*0.05))*DATEDIF(MAX("1/5/2008",Resumen!$B$6),A17,"y")),(((B17*0.03)+(VLOOKUP(YEAR(A17),Resumen!$O$7:$P$12,2,0)*0.05))*DATEDIF(Resumen!$B$6,A17,"y")))))</f>
        <v>30.300000000000004</v>
      </c>
      <c r="H17" s="4">
        <f t="shared" si="16"/>
        <v>103.53</v>
      </c>
      <c r="I17" s="4">
        <f t="shared" si="17"/>
        <v>103.48</v>
      </c>
      <c r="J17" s="1">
        <f>IF(Resumen!$B$14="Código",IF(A17&lt;DATE(2021,7,1),0,(0.03*(VLOOKUP(YEAR(A17),Resumen!$O$7:$P$12,2,0))*Resumen!$B$8)),IF(A17&lt;DATE(2022,3,1),0,(0.03*(VLOOKUP(YEAR(A17),Resumen!$O$7:$P$12,2,0))*Resumen!$B$8)))</f>
        <v>0</v>
      </c>
      <c r="K17" s="1">
        <f>IF(Resumen!$B$14="Código",IF(A17&lt;DATE(2021,7,1),0,50),IF(A17&lt;DATE(2022,3,1),0,50))</f>
        <v>0</v>
      </c>
      <c r="L17" s="1">
        <v>0</v>
      </c>
      <c r="M17" s="1">
        <v>0</v>
      </c>
      <c r="N17" s="1">
        <v>0</v>
      </c>
      <c r="O17" s="1">
        <v>0</v>
      </c>
      <c r="P17" s="1">
        <v>0</v>
      </c>
      <c r="Q17" s="1">
        <f>IF(Resumen!$B$14="Código",(B17+E17+F17+G17)*9.45%*-1,(B17+E17+F17+G17)*11.45%*-1)</f>
        <v>-142.24334999999999</v>
      </c>
      <c r="R17" s="3"/>
      <c r="S17" s="9">
        <f t="shared" ref="S17:S65" si="28">S16</f>
        <v>1412</v>
      </c>
      <c r="T17" s="4">
        <f t="shared" si="18"/>
        <v>0</v>
      </c>
      <c r="U17" s="4">
        <f t="shared" si="19"/>
        <v>0</v>
      </c>
      <c r="V17" s="4">
        <f t="shared" si="20"/>
        <v>164.21</v>
      </c>
      <c r="W17" s="4">
        <f t="shared" si="21"/>
        <v>164.15</v>
      </c>
      <c r="X17" s="4">
        <f>(0.03*(VLOOKUP(YEAR(A17),Resumen!$O$7:$P$12,2,0))*Resumen!$B$8)</f>
        <v>23.64</v>
      </c>
      <c r="Y17" s="4">
        <f>(((S17*0.03)+(VLOOKUP(YEAR(A17),Resumen!$O$7:$P$12,2,0)*0.05))*DATEDIF(Resumen!$B$6,A17,"y"))</f>
        <v>558.54</v>
      </c>
      <c r="Z17" s="3">
        <v>50</v>
      </c>
      <c r="AA17" s="1">
        <f>IF(DATEDIF(Resumen!$B$6,A17,"M")/12=5,S17/2,IF(DATEDIF(Resumen!$B$6,A17,"M")/12=10,S17,IF(DATEDIF(Resumen!$B$6,A17,"M")/12=15,S17*1.5,IF(DATEDIF(Resumen!$B$6,A17,"M")/12=20,S17*2,IF(DATEDIF(Resumen!$B$6,A17,"M")/12=25,S17*2.5,IF(DATEDIF(Resumen!$B$6,A17,"M")/12=30,S17*3,0))))))</f>
        <v>0</v>
      </c>
      <c r="AB17" s="19">
        <f>(IF(Resumen!$B$20="Sí",IF(Resumen!$C$20&lt;=A17,IF(DATEDIF(Resumen!$C$20,A17,"Y")&lt;8,VLOOKUP(YEAR(A17),Resumen!$O$7:$P$12,2,0),0),0),0))+(IF(Resumen!$B$21="Sí",IF(Resumen!$C$21&lt;=A17,IF(DATEDIF(Resumen!$C$21,A17,"Y")&lt;8,VLOOKUP(YEAR(A17),Resumen!$O$7:$P$12,2,0),0),0),0))</f>
        <v>0</v>
      </c>
      <c r="AC17" s="1">
        <f>IF(MONTH(A17)=12,VLOOKUP(YEAR(A17),Resumen!$O$7:$P$12,2,0),0)</f>
        <v>0</v>
      </c>
      <c r="AD17" s="1">
        <f t="shared" si="0"/>
        <v>0</v>
      </c>
      <c r="AE17" s="19">
        <f>(IF(Resumen!$B$25="Sí",IF(DATE(YEAR(Resumen!$C$25),MONTH(Resumen!$C$25),1)=A17,1000,0)+(IF(Resumen!$B$26="Sí",IF(DATE(YEAR(Resumen!$C$26),MONTH(Resumen!$C$26),1)=A17,1000,0),0)),0))</f>
        <v>0</v>
      </c>
      <c r="AF17" s="1">
        <v>0</v>
      </c>
      <c r="AG17" s="1">
        <v>0</v>
      </c>
      <c r="AH17" s="19">
        <v>130</v>
      </c>
      <c r="AI17" s="1">
        <f>IF(MONTH(A17)=1,(VLOOKUP(YEAR(A17),Resumen!$O$7:$P$12,2,0))*3,0)</f>
        <v>0</v>
      </c>
      <c r="AJ17" s="19">
        <f>IF(MONTH(A17)=12,(15+DATEDIF(Resumen!$B$6,A17,"y"))*50,0)</f>
        <v>0</v>
      </c>
      <c r="AK17" s="5">
        <f>IF(Resumen!$B$13="No",IF(Resumen!$B$12="No",20,100),0)</f>
        <v>20</v>
      </c>
      <c r="AL17" s="1">
        <f>IF(Resumen!$B$14="Código",(S17+T17+U17+Y17)*9.45%*-1,(S17+T17+U17+Y17)*11.45%*-1)</f>
        <v>-225.62682999999998</v>
      </c>
      <c r="AN17" s="3">
        <f t="shared" si="1"/>
        <v>200</v>
      </c>
      <c r="AO17" s="4">
        <f t="shared" si="2"/>
        <v>0</v>
      </c>
      <c r="AP17" s="4">
        <f t="shared" si="3"/>
        <v>0</v>
      </c>
      <c r="AQ17" s="4">
        <f t="shared" si="4"/>
        <v>60.680000000000007</v>
      </c>
      <c r="AR17" s="4">
        <f t="shared" si="5"/>
        <v>60.67</v>
      </c>
      <c r="AS17" s="4">
        <f t="shared" si="6"/>
        <v>528.24</v>
      </c>
      <c r="AT17" s="4">
        <f t="shared" si="7"/>
        <v>23.64</v>
      </c>
      <c r="AU17" s="4">
        <f t="shared" si="8"/>
        <v>50</v>
      </c>
      <c r="AV17" s="6">
        <f t="shared" si="9"/>
        <v>0</v>
      </c>
      <c r="AW17" s="6">
        <f t="shared" si="10"/>
        <v>0</v>
      </c>
      <c r="AX17" s="6">
        <f t="shared" si="11"/>
        <v>0</v>
      </c>
      <c r="AY17" s="6">
        <f t="shared" si="22"/>
        <v>130</v>
      </c>
      <c r="AZ17" s="6">
        <f t="shared" si="12"/>
        <v>20</v>
      </c>
      <c r="BA17" s="6">
        <f t="shared" si="23"/>
        <v>0</v>
      </c>
      <c r="BB17" s="6">
        <f t="shared" si="24"/>
        <v>0</v>
      </c>
      <c r="BC17" s="6">
        <f t="shared" si="25"/>
        <v>0</v>
      </c>
      <c r="BD17" s="6">
        <f t="shared" si="13"/>
        <v>-83.383479999999992</v>
      </c>
      <c r="BF17" s="3">
        <f t="shared" si="26"/>
        <v>989.84652000000006</v>
      </c>
      <c r="BG17" s="3">
        <f ca="1">BF17*Resumen!$P$14*((TODAY()-(A17+30))/360)</f>
        <v>355.50007816960004</v>
      </c>
    </row>
    <row r="18" spans="1:59" x14ac:dyDescent="0.25">
      <c r="A18" s="7">
        <v>43556</v>
      </c>
      <c r="B18" s="9">
        <f>IF(Resumen!$B$14="Código",IF(A18&lt;DATE(2021,7,1),Resumen!$B$7,Resumen!$B$7+300),IF(A18&lt;DATE(2022,3,1),Resumen!$B$7,Resumen!$B$7+300))</f>
        <v>1212</v>
      </c>
      <c r="C18" s="77">
        <v>0</v>
      </c>
      <c r="D18" s="77">
        <v>0</v>
      </c>
      <c r="E18" s="4">
        <f t="shared" si="14"/>
        <v>0</v>
      </c>
      <c r="F18" s="4">
        <f t="shared" si="15"/>
        <v>0</v>
      </c>
      <c r="G18" s="4">
        <f>IF(Resumen!$B$14="Código",IF(A18&lt;DATE(2021,7,1),(Resumen!$B$7*0.25%)*DATEDIF("1/1/2009",A18,"y"),IF(Resumen!$B$9="Sí",(((B18*0.03)+(VLOOKUP(YEAR(A18),Resumen!$O$7:$P$12,2,0)*0.05))*DATEDIF(MAX("1/5/2008",Resumen!$B$6),A18,"y")),(((B18*0.03)+(VLOOKUP(YEAR(A18),Resumen!$O$7:$P$12,2,0)*0.05))*DATEDIF(Resumen!$B$6,A18,"y")))),IF(A18&lt;DATE(2022,3,1),(Resumen!$B$7*0.25%)*DATEDIF("1/1/2009",A18,"y"),IF(Resumen!$B$9="Sí",(((B18*0.03)+(VLOOKUP(YEAR(A18),Resumen!$O$7:$P$12,2,0)*0.05))*DATEDIF(MAX("1/5/2008",Resumen!$B$6),A18,"y")),(((B18*0.03)+(VLOOKUP(YEAR(A18),Resumen!$O$7:$P$12,2,0)*0.05))*DATEDIF(Resumen!$B$6,A18,"y")))))</f>
        <v>30.300000000000004</v>
      </c>
      <c r="H18" s="4">
        <f t="shared" si="16"/>
        <v>103.53</v>
      </c>
      <c r="I18" s="4">
        <f t="shared" si="17"/>
        <v>103.48</v>
      </c>
      <c r="J18" s="1">
        <f>IF(Resumen!$B$14="Código",IF(A18&lt;DATE(2021,7,1),0,(0.03*(VLOOKUP(YEAR(A18),Resumen!$O$7:$P$12,2,0))*Resumen!$B$8)),IF(A18&lt;DATE(2022,3,1),0,(0.03*(VLOOKUP(YEAR(A18),Resumen!$O$7:$P$12,2,0))*Resumen!$B$8)))</f>
        <v>0</v>
      </c>
      <c r="K18" s="1">
        <f>IF(Resumen!$B$14="Código",IF(A18&lt;DATE(2021,7,1),0,50),IF(A18&lt;DATE(2022,3,1),0,50))</f>
        <v>0</v>
      </c>
      <c r="L18" s="1">
        <v>0</v>
      </c>
      <c r="M18" s="1">
        <v>0</v>
      </c>
      <c r="N18" s="1">
        <v>0</v>
      </c>
      <c r="O18" s="1">
        <v>0</v>
      </c>
      <c r="P18" s="1">
        <v>0</v>
      </c>
      <c r="Q18" s="1">
        <f>IF(Resumen!$B$14="Código",(B18+E18+F18+G18)*9.45%*-1,(B18+E18+F18+G18)*11.45%*-1)</f>
        <v>-142.24334999999999</v>
      </c>
      <c r="R18" s="3"/>
      <c r="S18" s="9">
        <f t="shared" si="28"/>
        <v>1412</v>
      </c>
      <c r="T18" s="4">
        <f t="shared" si="18"/>
        <v>0</v>
      </c>
      <c r="U18" s="4">
        <f t="shared" si="19"/>
        <v>0</v>
      </c>
      <c r="V18" s="4">
        <f t="shared" si="20"/>
        <v>164.21</v>
      </c>
      <c r="W18" s="4">
        <f t="shared" si="21"/>
        <v>164.15</v>
      </c>
      <c r="X18" s="4">
        <f>(0.03*(VLOOKUP(YEAR(A18),Resumen!$O$7:$P$12,2,0))*Resumen!$B$8)</f>
        <v>23.64</v>
      </c>
      <c r="Y18" s="4">
        <f>(((S18*0.03)+(VLOOKUP(YEAR(A18),Resumen!$O$7:$P$12,2,0)*0.05))*DATEDIF(Resumen!$B$6,A18,"y"))</f>
        <v>558.54</v>
      </c>
      <c r="Z18" s="3">
        <v>50</v>
      </c>
      <c r="AA18" s="1">
        <f>IF(DATEDIF(Resumen!$B$6,A18,"M")/12=5,S18/2,IF(DATEDIF(Resumen!$B$6,A18,"M")/12=10,S18,IF(DATEDIF(Resumen!$B$6,A18,"M")/12=15,S18*1.5,IF(DATEDIF(Resumen!$B$6,A18,"M")/12=20,S18*2,IF(DATEDIF(Resumen!$B$6,A18,"M")/12=25,S18*2.5,IF(DATEDIF(Resumen!$B$6,A18,"M")/12=30,S18*3,0))))))</f>
        <v>0</v>
      </c>
      <c r="AB18" s="19">
        <f>(IF(Resumen!$B$20="Sí",IF(Resumen!$C$20&lt;=A18,IF(DATEDIF(Resumen!$C$20,A18,"Y")&lt;8,VLOOKUP(YEAR(A18),Resumen!$O$7:$P$12,2,0),0),0),0))+(IF(Resumen!$B$21="Sí",IF(Resumen!$C$21&lt;=A18,IF(DATEDIF(Resumen!$C$21,A18,"Y")&lt;8,VLOOKUP(YEAR(A18),Resumen!$O$7:$P$12,2,0),0),0),0))</f>
        <v>0</v>
      </c>
      <c r="AC18" s="1">
        <f>IF(MONTH(A18)=12,VLOOKUP(YEAR(A18),Resumen!$O$7:$P$12,2,0),0)</f>
        <v>0</v>
      </c>
      <c r="AD18" s="1">
        <f t="shared" si="0"/>
        <v>0</v>
      </c>
      <c r="AE18" s="19">
        <f>(IF(Resumen!$B$25="Sí",IF(DATE(YEAR(Resumen!$C$25),MONTH(Resumen!$C$25),1)=A18,1000,0)+(IF(Resumen!$B$26="Sí",IF(DATE(YEAR(Resumen!$C$26),MONTH(Resumen!$C$26),1)=A18,1000,0),0)),0))</f>
        <v>0</v>
      </c>
      <c r="AF18" s="1">
        <v>0</v>
      </c>
      <c r="AG18" s="1">
        <v>0</v>
      </c>
      <c r="AH18" s="19">
        <v>130</v>
      </c>
      <c r="AI18" s="1">
        <f>IF(MONTH(A18)=1,(VLOOKUP(YEAR(A18),Resumen!$O$7:$P$12,2,0))*3,0)</f>
        <v>0</v>
      </c>
      <c r="AJ18" s="19">
        <f>IF(MONTH(A18)=12,(15+DATEDIF(Resumen!$B$6,A18,"y"))*50,0)</f>
        <v>0</v>
      </c>
      <c r="AK18" s="5">
        <f>IF(Resumen!$B$13="No",IF(Resumen!$B$12="No",20,100),0)</f>
        <v>20</v>
      </c>
      <c r="AL18" s="1">
        <f>IF(Resumen!$B$14="Código",(S18+T18+U18+Y18)*9.45%*-1,(S18+T18+U18+Y18)*11.45%*-1)</f>
        <v>-225.62682999999998</v>
      </c>
      <c r="AN18" s="3">
        <f t="shared" si="1"/>
        <v>200</v>
      </c>
      <c r="AO18" s="4">
        <f t="shared" si="2"/>
        <v>0</v>
      </c>
      <c r="AP18" s="4">
        <f t="shared" si="3"/>
        <v>0</v>
      </c>
      <c r="AQ18" s="4">
        <f t="shared" si="4"/>
        <v>60.680000000000007</v>
      </c>
      <c r="AR18" s="4">
        <f t="shared" si="5"/>
        <v>60.67</v>
      </c>
      <c r="AS18" s="4">
        <f t="shared" si="6"/>
        <v>528.24</v>
      </c>
      <c r="AT18" s="4">
        <f t="shared" si="7"/>
        <v>23.64</v>
      </c>
      <c r="AU18" s="4">
        <f t="shared" si="8"/>
        <v>50</v>
      </c>
      <c r="AV18" s="6">
        <f t="shared" si="9"/>
        <v>0</v>
      </c>
      <c r="AW18" s="6">
        <f t="shared" si="10"/>
        <v>0</v>
      </c>
      <c r="AX18" s="6">
        <f t="shared" si="11"/>
        <v>0</v>
      </c>
      <c r="AY18" s="6">
        <f t="shared" si="22"/>
        <v>130</v>
      </c>
      <c r="AZ18" s="6">
        <f t="shared" si="12"/>
        <v>20</v>
      </c>
      <c r="BA18" s="6">
        <f t="shared" si="23"/>
        <v>0</v>
      </c>
      <c r="BB18" s="6">
        <f t="shared" si="24"/>
        <v>0</v>
      </c>
      <c r="BC18" s="6">
        <f t="shared" si="25"/>
        <v>0</v>
      </c>
      <c r="BD18" s="6">
        <f t="shared" si="13"/>
        <v>-83.383479999999992</v>
      </c>
      <c r="BF18" s="3">
        <f t="shared" si="26"/>
        <v>989.84652000000006</v>
      </c>
      <c r="BG18" s="3">
        <f ca="1">BF18*Resumen!$P$14*((TODAY()-(A18+30))/360)</f>
        <v>347.86286235306665</v>
      </c>
    </row>
    <row r="19" spans="1:59" x14ac:dyDescent="0.25">
      <c r="A19" s="7">
        <v>43586</v>
      </c>
      <c r="B19" s="9">
        <f>IF(Resumen!$B$14="Código",IF(A19&lt;DATE(2021,7,1),Resumen!$B$7,Resumen!$B$7+300),IF(A19&lt;DATE(2022,3,1),Resumen!$B$7,Resumen!$B$7+300))</f>
        <v>1212</v>
      </c>
      <c r="C19" s="77">
        <v>0</v>
      </c>
      <c r="D19" s="77">
        <v>0</v>
      </c>
      <c r="E19" s="4">
        <f t="shared" si="14"/>
        <v>0</v>
      </c>
      <c r="F19" s="4">
        <f t="shared" si="15"/>
        <v>0</v>
      </c>
      <c r="G19" s="4">
        <f>IF(Resumen!$B$14="Código",IF(A19&lt;DATE(2021,7,1),(Resumen!$B$7*0.25%)*DATEDIF("1/1/2009",A19,"y"),IF(Resumen!$B$9="Sí",(((B19*0.03)+(VLOOKUP(YEAR(A19),Resumen!$O$7:$P$12,2,0)*0.05))*DATEDIF(MAX("1/5/2008",Resumen!$B$6),A19,"y")),(((B19*0.03)+(VLOOKUP(YEAR(A19),Resumen!$O$7:$P$12,2,0)*0.05))*DATEDIF(Resumen!$B$6,A19,"y")))),IF(A19&lt;DATE(2022,3,1),(Resumen!$B$7*0.25%)*DATEDIF("1/1/2009",A19,"y"),IF(Resumen!$B$9="Sí",(((B19*0.03)+(VLOOKUP(YEAR(A19),Resumen!$O$7:$P$12,2,0)*0.05))*DATEDIF(MAX("1/5/2008",Resumen!$B$6),A19,"y")),(((B19*0.03)+(VLOOKUP(YEAR(A19),Resumen!$O$7:$P$12,2,0)*0.05))*DATEDIF(Resumen!$B$6,A19,"y")))))</f>
        <v>30.300000000000004</v>
      </c>
      <c r="H19" s="4">
        <f t="shared" si="16"/>
        <v>103.53</v>
      </c>
      <c r="I19" s="4">
        <f t="shared" si="17"/>
        <v>103.48</v>
      </c>
      <c r="J19" s="1">
        <f>IF(Resumen!$B$14="Código",IF(A19&lt;DATE(2021,7,1),0,(0.03*(VLOOKUP(YEAR(A19),Resumen!$O$7:$P$12,2,0))*Resumen!$B$8)),IF(A19&lt;DATE(2022,3,1),0,(0.03*(VLOOKUP(YEAR(A19),Resumen!$O$7:$P$12,2,0))*Resumen!$B$8)))</f>
        <v>0</v>
      </c>
      <c r="K19" s="1">
        <f>IF(Resumen!$B$14="Código",IF(A19&lt;DATE(2021,7,1),0,50),IF(A19&lt;DATE(2022,3,1),0,50))</f>
        <v>0</v>
      </c>
      <c r="L19" s="1">
        <v>0</v>
      </c>
      <c r="M19" s="1">
        <v>0</v>
      </c>
      <c r="N19" s="1">
        <v>0</v>
      </c>
      <c r="O19" s="1">
        <v>0</v>
      </c>
      <c r="P19" s="1">
        <v>0</v>
      </c>
      <c r="Q19" s="1">
        <f>IF(Resumen!$B$14="Código",(B19+E19+F19+G19)*9.45%*-1,(B19+E19+F19+G19)*11.45%*-1)</f>
        <v>-142.24334999999999</v>
      </c>
      <c r="R19" s="3"/>
      <c r="S19" s="9">
        <f t="shared" si="28"/>
        <v>1412</v>
      </c>
      <c r="T19" s="4">
        <f t="shared" si="18"/>
        <v>0</v>
      </c>
      <c r="U19" s="4">
        <f t="shared" si="19"/>
        <v>0</v>
      </c>
      <c r="V19" s="4">
        <f t="shared" si="20"/>
        <v>164.21</v>
      </c>
      <c r="W19" s="4">
        <f t="shared" si="21"/>
        <v>164.15</v>
      </c>
      <c r="X19" s="4">
        <f>(0.03*(VLOOKUP(YEAR(A19),Resumen!$O$7:$P$12,2,0))*Resumen!$B$8)</f>
        <v>23.64</v>
      </c>
      <c r="Y19" s="4">
        <f>(((S19*0.03)+(VLOOKUP(YEAR(A19),Resumen!$O$7:$P$12,2,0)*0.05))*DATEDIF(Resumen!$B$6,A19,"y"))</f>
        <v>558.54</v>
      </c>
      <c r="Z19" s="3">
        <v>50</v>
      </c>
      <c r="AA19" s="1">
        <f>IF(DATEDIF(Resumen!$B$6,A19,"M")/12=5,S19/2,IF(DATEDIF(Resumen!$B$6,A19,"M")/12=10,S19,IF(DATEDIF(Resumen!$B$6,A19,"M")/12=15,S19*1.5,IF(DATEDIF(Resumen!$B$6,A19,"M")/12=20,S19*2,IF(DATEDIF(Resumen!$B$6,A19,"M")/12=25,S19*2.5,IF(DATEDIF(Resumen!$B$6,A19,"M")/12=30,S19*3,0))))))</f>
        <v>0</v>
      </c>
      <c r="AB19" s="19">
        <f>(IF(Resumen!$B$20="Sí",IF(Resumen!$C$20&lt;=A19,IF(DATEDIF(Resumen!$C$20,A19,"Y")&lt;8,VLOOKUP(YEAR(A19),Resumen!$O$7:$P$12,2,0),0),0),0))+(IF(Resumen!$B$21="Sí",IF(Resumen!$C$21&lt;=A19,IF(DATEDIF(Resumen!$C$21,A19,"Y")&lt;8,VLOOKUP(YEAR(A19),Resumen!$O$7:$P$12,2,0),0),0),0))</f>
        <v>0</v>
      </c>
      <c r="AC19" s="1">
        <f>IF(MONTH(A19)=12,VLOOKUP(YEAR(A19),Resumen!$O$7:$P$12,2,0),0)</f>
        <v>0</v>
      </c>
      <c r="AD19" s="1">
        <f t="shared" si="0"/>
        <v>0</v>
      </c>
      <c r="AE19" s="19">
        <f>(IF(Resumen!$B$25="Sí",IF(DATE(YEAR(Resumen!$C$25),MONTH(Resumen!$C$25),1)=A19,1000,0)+(IF(Resumen!$B$26="Sí",IF(DATE(YEAR(Resumen!$C$26),MONTH(Resumen!$C$26),1)=A19,1000,0),0)),0))</f>
        <v>0</v>
      </c>
      <c r="AF19" s="1">
        <v>0</v>
      </c>
      <c r="AG19" s="80">
        <f>IF(Resumen!$B$10="Campo",2000,IF(Resumen!$B$11="Femenino",1000,800))</f>
        <v>800</v>
      </c>
      <c r="AH19" s="19">
        <v>130</v>
      </c>
      <c r="AI19" s="1">
        <f>IF(MONTH(A19)=1,(VLOOKUP(YEAR(A19),Resumen!$O$7:$P$12,2,0))*3,0)</f>
        <v>0</v>
      </c>
      <c r="AJ19" s="19">
        <f>IF(MONTH(A19)=12,(15+DATEDIF(Resumen!$B$6,A19,"y"))*50,0)</f>
        <v>0</v>
      </c>
      <c r="AK19" s="5">
        <f>IF(Resumen!$B$13="No",IF(Resumen!$B$12="No",20,100),0)</f>
        <v>20</v>
      </c>
      <c r="AL19" s="1">
        <f>IF(Resumen!$B$14="Código",(S19+T19+U19+Y19)*9.45%*-1,(S19+T19+U19+Y19)*11.45%*-1)</f>
        <v>-225.62682999999998</v>
      </c>
      <c r="AN19" s="3">
        <f t="shared" si="1"/>
        <v>200</v>
      </c>
      <c r="AO19" s="4">
        <f t="shared" si="2"/>
        <v>0</v>
      </c>
      <c r="AP19" s="4">
        <f t="shared" si="3"/>
        <v>0</v>
      </c>
      <c r="AQ19" s="4">
        <f t="shared" si="4"/>
        <v>60.680000000000007</v>
      </c>
      <c r="AR19" s="4">
        <f t="shared" si="5"/>
        <v>60.67</v>
      </c>
      <c r="AS19" s="4">
        <f t="shared" si="6"/>
        <v>528.24</v>
      </c>
      <c r="AT19" s="4">
        <f t="shared" si="7"/>
        <v>23.64</v>
      </c>
      <c r="AU19" s="4">
        <f t="shared" si="8"/>
        <v>50</v>
      </c>
      <c r="AV19" s="6">
        <f t="shared" si="9"/>
        <v>0</v>
      </c>
      <c r="AW19" s="6">
        <f t="shared" si="10"/>
        <v>0</v>
      </c>
      <c r="AX19" s="6">
        <f t="shared" si="11"/>
        <v>0</v>
      </c>
      <c r="AY19" s="6">
        <f t="shared" si="22"/>
        <v>130</v>
      </c>
      <c r="AZ19" s="6">
        <f t="shared" si="12"/>
        <v>20</v>
      </c>
      <c r="BA19" s="6">
        <f t="shared" si="23"/>
        <v>0</v>
      </c>
      <c r="BB19" s="6">
        <f t="shared" si="24"/>
        <v>0</v>
      </c>
      <c r="BC19" s="6">
        <f t="shared" si="25"/>
        <v>0</v>
      </c>
      <c r="BD19" s="6">
        <f t="shared" si="13"/>
        <v>-83.383479999999992</v>
      </c>
      <c r="BF19" s="3">
        <f t="shared" si="26"/>
        <v>989.84652000000006</v>
      </c>
      <c r="BG19" s="3">
        <f ca="1">BF19*Resumen!$P$14*((TODAY()-(A19+30))/360)</f>
        <v>340.47200833706665</v>
      </c>
    </row>
    <row r="20" spans="1:59" x14ac:dyDescent="0.25">
      <c r="A20" s="7">
        <v>43617</v>
      </c>
      <c r="B20" s="9">
        <f>IF(Resumen!$B$14="Código",IF(A20&lt;DATE(2021,7,1),Resumen!$B$7,Resumen!$B$7+300),IF(A20&lt;DATE(2022,3,1),Resumen!$B$7,Resumen!$B$7+300))</f>
        <v>1212</v>
      </c>
      <c r="C20" s="77">
        <v>0</v>
      </c>
      <c r="D20" s="77">
        <v>0</v>
      </c>
      <c r="E20" s="4">
        <f t="shared" si="14"/>
        <v>0</v>
      </c>
      <c r="F20" s="4">
        <f t="shared" si="15"/>
        <v>0</v>
      </c>
      <c r="G20" s="4">
        <f>IF(Resumen!$B$14="Código",IF(A20&lt;DATE(2021,7,1),(Resumen!$B$7*0.25%)*DATEDIF("1/1/2009",A20,"y"),IF(Resumen!$B$9="Sí",(((B20*0.03)+(VLOOKUP(YEAR(A20),Resumen!$O$7:$P$12,2,0)*0.05))*DATEDIF(MAX("1/5/2008",Resumen!$B$6),A20,"y")),(((B20*0.03)+(VLOOKUP(YEAR(A20),Resumen!$O$7:$P$12,2,0)*0.05))*DATEDIF(Resumen!$B$6,A20,"y")))),IF(A20&lt;DATE(2022,3,1),(Resumen!$B$7*0.25%)*DATEDIF("1/1/2009",A20,"y"),IF(Resumen!$B$9="Sí",(((B20*0.03)+(VLOOKUP(YEAR(A20),Resumen!$O$7:$P$12,2,0)*0.05))*DATEDIF(MAX("1/5/2008",Resumen!$B$6),A20,"y")),(((B20*0.03)+(VLOOKUP(YEAR(A20),Resumen!$O$7:$P$12,2,0)*0.05))*DATEDIF(Resumen!$B$6,A20,"y")))))</f>
        <v>30.300000000000004</v>
      </c>
      <c r="H20" s="4">
        <f t="shared" si="16"/>
        <v>103.53</v>
      </c>
      <c r="I20" s="4">
        <f t="shared" si="17"/>
        <v>103.48</v>
      </c>
      <c r="J20" s="1">
        <f>IF(Resumen!$B$14="Código",IF(A20&lt;DATE(2021,7,1),0,(0.03*(VLOOKUP(YEAR(A20),Resumen!$O$7:$P$12,2,0))*Resumen!$B$8)),IF(A20&lt;DATE(2022,3,1),0,(0.03*(VLOOKUP(YEAR(A20),Resumen!$O$7:$P$12,2,0))*Resumen!$B$8)))</f>
        <v>0</v>
      </c>
      <c r="K20" s="1">
        <f>IF(Resumen!$B$14="Código",IF(A20&lt;DATE(2021,7,1),0,50),IF(A20&lt;DATE(2022,3,1),0,50))</f>
        <v>0</v>
      </c>
      <c r="L20" s="1">
        <v>0</v>
      </c>
      <c r="M20" s="1">
        <v>0</v>
      </c>
      <c r="N20" s="1">
        <v>0</v>
      </c>
      <c r="O20" s="1">
        <v>0</v>
      </c>
      <c r="P20" s="1">
        <v>0</v>
      </c>
      <c r="Q20" s="1">
        <f>IF(Resumen!$B$14="Código",(B20+E20+F20+G20)*9.45%*-1,(B20+E20+F20+G20)*11.45%*-1)</f>
        <v>-142.24334999999999</v>
      </c>
      <c r="R20" s="3"/>
      <c r="S20" s="9">
        <f t="shared" si="28"/>
        <v>1412</v>
      </c>
      <c r="T20" s="4">
        <f t="shared" si="18"/>
        <v>0</v>
      </c>
      <c r="U20" s="4">
        <f t="shared" si="19"/>
        <v>0</v>
      </c>
      <c r="V20" s="4">
        <f t="shared" si="20"/>
        <v>164.21</v>
      </c>
      <c r="W20" s="4">
        <f t="shared" si="21"/>
        <v>164.15</v>
      </c>
      <c r="X20" s="4">
        <f>(0.03*(VLOOKUP(YEAR(A20),Resumen!$O$7:$P$12,2,0))*Resumen!$B$8)</f>
        <v>23.64</v>
      </c>
      <c r="Y20" s="4">
        <f>(((S20*0.03)+(VLOOKUP(YEAR(A20),Resumen!$O$7:$P$12,2,0)*0.05))*DATEDIF(Resumen!$B$6,A20,"y"))</f>
        <v>558.54</v>
      </c>
      <c r="Z20" s="3">
        <v>50</v>
      </c>
      <c r="AA20" s="1">
        <f>IF(DATEDIF(Resumen!$B$6,A20,"M")/12=5,S20/2,IF(DATEDIF(Resumen!$B$6,A20,"M")/12=10,S20,IF(DATEDIF(Resumen!$B$6,A20,"M")/12=15,S20*1.5,IF(DATEDIF(Resumen!$B$6,A20,"M")/12=20,S20*2,IF(DATEDIF(Resumen!$B$6,A20,"M")/12=25,S20*2.5,IF(DATEDIF(Resumen!$B$6,A20,"M")/12=30,S20*3,0))))))</f>
        <v>0</v>
      </c>
      <c r="AB20" s="19">
        <f>(IF(Resumen!$B$20="Sí",IF(Resumen!$C$20&lt;=A20,IF(DATEDIF(Resumen!$C$20,A20,"Y")&lt;8,VLOOKUP(YEAR(A20),Resumen!$O$7:$P$12,2,0),0),0),0))+(IF(Resumen!$B$21="Sí",IF(Resumen!$C$21&lt;=A20,IF(DATEDIF(Resumen!$C$21,A20,"Y")&lt;8,VLOOKUP(YEAR(A20),Resumen!$O$7:$P$12,2,0),0),0),0))</f>
        <v>0</v>
      </c>
      <c r="AC20" s="1">
        <f>IF(MONTH(A20)=12,VLOOKUP(YEAR(A20),Resumen!$O$7:$P$12,2,0),0)</f>
        <v>0</v>
      </c>
      <c r="AD20" s="1">
        <f t="shared" si="0"/>
        <v>0</v>
      </c>
      <c r="AE20" s="19">
        <f>(IF(Resumen!$B$25="Sí",IF(DATE(YEAR(Resumen!$C$25),MONTH(Resumen!$C$25),1)=A20,1000,0)+(IF(Resumen!$B$26="Sí",IF(DATE(YEAR(Resumen!$C$26),MONTH(Resumen!$C$26),1)=A20,1000,0),0)),0))</f>
        <v>0</v>
      </c>
      <c r="AF20" s="1">
        <v>0</v>
      </c>
      <c r="AG20" s="1">
        <v>0</v>
      </c>
      <c r="AH20" s="19">
        <v>130</v>
      </c>
      <c r="AI20" s="1">
        <f>IF(MONTH(A20)=1,(VLOOKUP(YEAR(A20),Resumen!$O$7:$P$12,2,0))*3,0)</f>
        <v>0</v>
      </c>
      <c r="AJ20" s="19">
        <f>IF(MONTH(A20)=12,(15+DATEDIF(Resumen!$B$6,A20,"y"))*50,0)</f>
        <v>0</v>
      </c>
      <c r="AK20" s="5">
        <f>IF(Resumen!$B$13="No",IF(Resumen!$B$12="No",20,100),0)</f>
        <v>20</v>
      </c>
      <c r="AL20" s="1">
        <f>IF(Resumen!$B$14="Código",(S20+T20+U20+Y20)*9.45%*-1,(S20+T20+U20+Y20)*11.45%*-1)</f>
        <v>-225.62682999999998</v>
      </c>
      <c r="AN20" s="3">
        <f t="shared" si="1"/>
        <v>200</v>
      </c>
      <c r="AO20" s="4">
        <f t="shared" si="2"/>
        <v>0</v>
      </c>
      <c r="AP20" s="4">
        <f t="shared" si="3"/>
        <v>0</v>
      </c>
      <c r="AQ20" s="4">
        <f t="shared" si="4"/>
        <v>60.680000000000007</v>
      </c>
      <c r="AR20" s="4">
        <f t="shared" si="5"/>
        <v>60.67</v>
      </c>
      <c r="AS20" s="4">
        <f t="shared" si="6"/>
        <v>528.24</v>
      </c>
      <c r="AT20" s="4">
        <f t="shared" si="7"/>
        <v>23.64</v>
      </c>
      <c r="AU20" s="4">
        <f t="shared" si="8"/>
        <v>50</v>
      </c>
      <c r="AV20" s="6">
        <f t="shared" si="9"/>
        <v>0</v>
      </c>
      <c r="AW20" s="6">
        <f t="shared" si="10"/>
        <v>0</v>
      </c>
      <c r="AX20" s="6">
        <f t="shared" si="11"/>
        <v>0</v>
      </c>
      <c r="AY20" s="6">
        <f t="shared" si="22"/>
        <v>130</v>
      </c>
      <c r="AZ20" s="6">
        <f t="shared" si="12"/>
        <v>20</v>
      </c>
      <c r="BA20" s="6">
        <f t="shared" si="23"/>
        <v>0</v>
      </c>
      <c r="BB20" s="6">
        <f t="shared" si="24"/>
        <v>0</v>
      </c>
      <c r="BC20" s="6">
        <f t="shared" si="25"/>
        <v>0</v>
      </c>
      <c r="BD20" s="6">
        <f t="shared" si="13"/>
        <v>-83.383479999999992</v>
      </c>
      <c r="BF20" s="3">
        <f t="shared" si="26"/>
        <v>989.84652000000006</v>
      </c>
      <c r="BG20" s="3">
        <f ca="1">BF20*Resumen!$P$14*((TODAY()-(A20+30))/360)</f>
        <v>332.83479252053331</v>
      </c>
    </row>
    <row r="21" spans="1:59" x14ac:dyDescent="0.25">
      <c r="A21" s="7">
        <v>43647</v>
      </c>
      <c r="B21" s="9">
        <f>IF(Resumen!$B$14="Código",IF(A21&lt;DATE(2021,7,1),Resumen!$B$7,Resumen!$B$7+300),IF(A21&lt;DATE(2022,3,1),Resumen!$B$7,Resumen!$B$7+300))</f>
        <v>1212</v>
      </c>
      <c r="C21" s="77">
        <v>0</v>
      </c>
      <c r="D21" s="77">
        <v>0</v>
      </c>
      <c r="E21" s="4">
        <f t="shared" si="14"/>
        <v>0</v>
      </c>
      <c r="F21" s="4">
        <f t="shared" si="15"/>
        <v>0</v>
      </c>
      <c r="G21" s="4">
        <f>IF(Resumen!$B$14="Código",IF(A21&lt;DATE(2021,7,1),(Resumen!$B$7*0.25%)*DATEDIF("1/1/2009",A21,"y"),IF(Resumen!$B$9="Sí",(((B21*0.03)+(VLOOKUP(YEAR(A21),Resumen!$O$7:$P$12,2,0)*0.05))*DATEDIF(MAX("1/5/2008",Resumen!$B$6),A21,"y")),(((B21*0.03)+(VLOOKUP(YEAR(A21),Resumen!$O$7:$P$12,2,0)*0.05))*DATEDIF(Resumen!$B$6,A21,"y")))),IF(A21&lt;DATE(2022,3,1),(Resumen!$B$7*0.25%)*DATEDIF("1/1/2009",A21,"y"),IF(Resumen!$B$9="Sí",(((B21*0.03)+(VLOOKUP(YEAR(A21),Resumen!$O$7:$P$12,2,0)*0.05))*DATEDIF(MAX("1/5/2008",Resumen!$B$6),A21,"y")),(((B21*0.03)+(VLOOKUP(YEAR(A21),Resumen!$O$7:$P$12,2,0)*0.05))*DATEDIF(Resumen!$B$6,A21,"y")))))</f>
        <v>30.300000000000004</v>
      </c>
      <c r="H21" s="4">
        <f t="shared" si="16"/>
        <v>103.53</v>
      </c>
      <c r="I21" s="4">
        <f t="shared" si="17"/>
        <v>103.48</v>
      </c>
      <c r="J21" s="1">
        <f>IF(Resumen!$B$14="Código",IF(A21&lt;DATE(2021,7,1),0,(0.03*(VLOOKUP(YEAR(A21),Resumen!$O$7:$P$12,2,0))*Resumen!$B$8)),IF(A21&lt;DATE(2022,3,1),0,(0.03*(VLOOKUP(YEAR(A21),Resumen!$O$7:$P$12,2,0))*Resumen!$B$8)))</f>
        <v>0</v>
      </c>
      <c r="K21" s="1">
        <f>IF(Resumen!$B$14="Código",IF(A21&lt;DATE(2021,7,1),0,50),IF(A21&lt;DATE(2022,3,1),0,50))</f>
        <v>0</v>
      </c>
      <c r="L21" s="1">
        <v>0</v>
      </c>
      <c r="M21" s="1">
        <v>0</v>
      </c>
      <c r="N21" s="1">
        <v>0</v>
      </c>
      <c r="O21" s="1">
        <v>0</v>
      </c>
      <c r="P21" s="1">
        <v>0</v>
      </c>
      <c r="Q21" s="1">
        <f>IF(Resumen!$B$14="Código",(B21+E21+F21+G21)*9.45%*-1,(B21+E21+F21+G21)*11.45%*-1)</f>
        <v>-142.24334999999999</v>
      </c>
      <c r="R21" s="3"/>
      <c r="S21" s="9">
        <f t="shared" si="28"/>
        <v>1412</v>
      </c>
      <c r="T21" s="4">
        <f t="shared" si="18"/>
        <v>0</v>
      </c>
      <c r="U21" s="4">
        <f t="shared" si="19"/>
        <v>0</v>
      </c>
      <c r="V21" s="4">
        <f t="shared" si="20"/>
        <v>164.21</v>
      </c>
      <c r="W21" s="4">
        <f t="shared" si="21"/>
        <v>164.15</v>
      </c>
      <c r="X21" s="4">
        <f>(0.03*(VLOOKUP(YEAR(A21),Resumen!$O$7:$P$12,2,0))*Resumen!$B$8)</f>
        <v>23.64</v>
      </c>
      <c r="Y21" s="4">
        <f>(((S21*0.03)+(VLOOKUP(YEAR(A21),Resumen!$O$7:$P$12,2,0)*0.05))*DATEDIF(Resumen!$B$6,A21,"y"))</f>
        <v>558.54</v>
      </c>
      <c r="Z21" s="3">
        <v>50</v>
      </c>
      <c r="AA21" s="1">
        <f>IF(DATEDIF(Resumen!$B$6,A21,"M")/12=5,S21/2,IF(DATEDIF(Resumen!$B$6,A21,"M")/12=10,S21,IF(DATEDIF(Resumen!$B$6,A21,"M")/12=15,S21*1.5,IF(DATEDIF(Resumen!$B$6,A21,"M")/12=20,S21*2,IF(DATEDIF(Resumen!$B$6,A21,"M")/12=25,S21*2.5,IF(DATEDIF(Resumen!$B$6,A21,"M")/12=30,S21*3,0))))))</f>
        <v>0</v>
      </c>
      <c r="AB21" s="19">
        <f>(IF(Resumen!$B$20="Sí",IF(Resumen!$C$20&lt;=A21,IF(DATEDIF(Resumen!$C$20,A21,"Y")&lt;8,VLOOKUP(YEAR(A21),Resumen!$O$7:$P$12,2,0),0),0),0))+(IF(Resumen!$B$21="Sí",IF(Resumen!$C$21&lt;=A21,IF(DATEDIF(Resumen!$C$21,A21,"Y")&lt;8,VLOOKUP(YEAR(A21),Resumen!$O$7:$P$12,2,0),0),0),0))</f>
        <v>0</v>
      </c>
      <c r="AC21" s="1">
        <f>IF(MONTH(A21)=12,VLOOKUP(YEAR(A21),Resumen!$O$7:$P$12,2,0),0)</f>
        <v>0</v>
      </c>
      <c r="AD21" s="1">
        <f t="shared" si="0"/>
        <v>0</v>
      </c>
      <c r="AE21" s="19">
        <f>(IF(Resumen!$B$25="Sí",IF(DATE(YEAR(Resumen!$C$25),MONTH(Resumen!$C$25),1)=A21,1000,0)+(IF(Resumen!$B$26="Sí",IF(DATE(YEAR(Resumen!$C$26),MONTH(Resumen!$C$26),1)=A21,1000,0),0)),0))</f>
        <v>0</v>
      </c>
      <c r="AF21" s="1">
        <v>0</v>
      </c>
      <c r="AG21" s="1">
        <v>0</v>
      </c>
      <c r="AH21" s="19">
        <v>130</v>
      </c>
      <c r="AI21" s="1">
        <f>IF(MONTH(A21)=1,(VLOOKUP(YEAR(A21),Resumen!$O$7:$P$12,2,0))*3,0)</f>
        <v>0</v>
      </c>
      <c r="AJ21" s="19">
        <f>IF(MONTH(A21)=12,(15+DATEDIF(Resumen!$B$6,A21,"y"))*50,0)</f>
        <v>0</v>
      </c>
      <c r="AK21" s="5">
        <f>IF(Resumen!$B$13="No",IF(Resumen!$B$12="No",20,100),0)</f>
        <v>20</v>
      </c>
      <c r="AL21" s="1">
        <f>IF(Resumen!$B$14="Código",(S21+T21+U21+Y21)*9.45%*-1,(S21+T21+U21+Y21)*11.45%*-1)</f>
        <v>-225.62682999999998</v>
      </c>
      <c r="AN21" s="3">
        <f t="shared" si="1"/>
        <v>200</v>
      </c>
      <c r="AO21" s="4">
        <f t="shared" si="2"/>
        <v>0</v>
      </c>
      <c r="AP21" s="4">
        <f t="shared" si="3"/>
        <v>0</v>
      </c>
      <c r="AQ21" s="4">
        <f t="shared" si="4"/>
        <v>60.680000000000007</v>
      </c>
      <c r="AR21" s="4">
        <f t="shared" si="5"/>
        <v>60.67</v>
      </c>
      <c r="AS21" s="4">
        <f t="shared" si="6"/>
        <v>528.24</v>
      </c>
      <c r="AT21" s="4">
        <f t="shared" si="7"/>
        <v>23.64</v>
      </c>
      <c r="AU21" s="4">
        <f t="shared" si="8"/>
        <v>50</v>
      </c>
      <c r="AV21" s="6">
        <f t="shared" si="9"/>
        <v>0</v>
      </c>
      <c r="AW21" s="6">
        <f t="shared" si="10"/>
        <v>0</v>
      </c>
      <c r="AX21" s="6">
        <f t="shared" si="11"/>
        <v>0</v>
      </c>
      <c r="AY21" s="6">
        <f t="shared" si="22"/>
        <v>130</v>
      </c>
      <c r="AZ21" s="6">
        <f t="shared" si="12"/>
        <v>20</v>
      </c>
      <c r="BA21" s="6">
        <f t="shared" si="23"/>
        <v>0</v>
      </c>
      <c r="BB21" s="6">
        <f t="shared" si="24"/>
        <v>0</v>
      </c>
      <c r="BC21" s="6">
        <f t="shared" si="25"/>
        <v>0</v>
      </c>
      <c r="BD21" s="6">
        <f t="shared" si="13"/>
        <v>-83.383479999999992</v>
      </c>
      <c r="BF21" s="3">
        <f t="shared" si="26"/>
        <v>989.84652000000006</v>
      </c>
      <c r="BG21" s="3">
        <f ca="1">BF21*Resumen!$P$14*((TODAY()-(A21+30))/360)</f>
        <v>325.44393850453332</v>
      </c>
    </row>
    <row r="22" spans="1:59" x14ac:dyDescent="0.25">
      <c r="A22" s="7">
        <v>43678</v>
      </c>
      <c r="B22" s="9">
        <f>IF(Resumen!$B$14="Código",IF(A22&lt;DATE(2021,7,1),Resumen!$B$7,Resumen!$B$7+300),IF(A22&lt;DATE(2022,3,1),Resumen!$B$7,Resumen!$B$7+300))</f>
        <v>1212</v>
      </c>
      <c r="C22" s="77">
        <v>0</v>
      </c>
      <c r="D22" s="77">
        <v>0</v>
      </c>
      <c r="E22" s="4">
        <f t="shared" si="14"/>
        <v>0</v>
      </c>
      <c r="F22" s="4">
        <f t="shared" si="15"/>
        <v>0</v>
      </c>
      <c r="G22" s="4">
        <f>IF(Resumen!$B$14="Código",IF(A22&lt;DATE(2021,7,1),(Resumen!$B$7*0.25%)*DATEDIF("1/1/2009",A22,"y"),IF(Resumen!$B$9="Sí",(((B22*0.03)+(VLOOKUP(YEAR(A22),Resumen!$O$7:$P$12,2,0)*0.05))*DATEDIF(MAX("1/5/2008",Resumen!$B$6),A22,"y")),(((B22*0.03)+(VLOOKUP(YEAR(A22),Resumen!$O$7:$P$12,2,0)*0.05))*DATEDIF(Resumen!$B$6,A22,"y")))),IF(A22&lt;DATE(2022,3,1),(Resumen!$B$7*0.25%)*DATEDIF("1/1/2009",A22,"y"),IF(Resumen!$B$9="Sí",(((B22*0.03)+(VLOOKUP(YEAR(A22),Resumen!$O$7:$P$12,2,0)*0.05))*DATEDIF(MAX("1/5/2008",Resumen!$B$6),A22,"y")),(((B22*0.03)+(VLOOKUP(YEAR(A22),Resumen!$O$7:$P$12,2,0)*0.05))*DATEDIF(Resumen!$B$6,A22,"y")))))</f>
        <v>30.300000000000004</v>
      </c>
      <c r="H22" s="4">
        <f t="shared" si="16"/>
        <v>103.53</v>
      </c>
      <c r="I22" s="4">
        <f t="shared" si="17"/>
        <v>103.48</v>
      </c>
      <c r="J22" s="1">
        <f>IF(Resumen!$B$14="Código",IF(A22&lt;DATE(2021,7,1),0,(0.03*(VLOOKUP(YEAR(A22),Resumen!$O$7:$P$12,2,0))*Resumen!$B$8)),IF(A22&lt;DATE(2022,3,1),0,(0.03*(VLOOKUP(YEAR(A22),Resumen!$O$7:$P$12,2,0))*Resumen!$B$8)))</f>
        <v>0</v>
      </c>
      <c r="K22" s="1">
        <f>IF(Resumen!$B$14="Código",IF(A22&lt;DATE(2021,7,1),0,50),IF(A22&lt;DATE(2022,3,1),0,50))</f>
        <v>0</v>
      </c>
      <c r="L22" s="1">
        <v>0</v>
      </c>
      <c r="M22" s="1">
        <v>0</v>
      </c>
      <c r="N22" s="1">
        <v>0</v>
      </c>
      <c r="O22" s="1">
        <v>0</v>
      </c>
      <c r="P22" s="1">
        <v>0</v>
      </c>
      <c r="Q22" s="1">
        <f>IF(Resumen!$B$14="Código",(B22+E22+F22+G22)*9.45%*-1,(B22+E22+F22+G22)*11.45%*-1)</f>
        <v>-142.24334999999999</v>
      </c>
      <c r="R22" s="3"/>
      <c r="S22" s="9">
        <f t="shared" si="28"/>
        <v>1412</v>
      </c>
      <c r="T22" s="4">
        <f t="shared" si="18"/>
        <v>0</v>
      </c>
      <c r="U22" s="4">
        <f t="shared" si="19"/>
        <v>0</v>
      </c>
      <c r="V22" s="4">
        <f t="shared" si="20"/>
        <v>164.21</v>
      </c>
      <c r="W22" s="4">
        <f t="shared" si="21"/>
        <v>164.15</v>
      </c>
      <c r="X22" s="4">
        <f>(0.03*(VLOOKUP(YEAR(A22),Resumen!$O$7:$P$12,2,0))*Resumen!$B$8)</f>
        <v>23.64</v>
      </c>
      <c r="Y22" s="4">
        <f>(((S22*0.03)+(VLOOKUP(YEAR(A22),Resumen!$O$7:$P$12,2,0)*0.05))*DATEDIF(Resumen!$B$6,A22,"y"))</f>
        <v>558.54</v>
      </c>
      <c r="Z22" s="3">
        <v>50</v>
      </c>
      <c r="AA22" s="1">
        <f>IF(DATEDIF(Resumen!$B$6,A22,"M")/12=5,S22/2,IF(DATEDIF(Resumen!$B$6,A22,"M")/12=10,S22,IF(DATEDIF(Resumen!$B$6,A22,"M")/12=15,S22*1.5,IF(DATEDIF(Resumen!$B$6,A22,"M")/12=20,S22*2,IF(DATEDIF(Resumen!$B$6,A22,"M")/12=25,S22*2.5,IF(DATEDIF(Resumen!$B$6,A22,"M")/12=30,S22*3,0))))))</f>
        <v>0</v>
      </c>
      <c r="AB22" s="19">
        <f>(IF(Resumen!$B$20="Sí",IF(Resumen!$C$20&lt;=A22,IF(DATEDIF(Resumen!$C$20,A22,"Y")&lt;8,VLOOKUP(YEAR(A22),Resumen!$O$7:$P$12,2,0),0),0),0))+(IF(Resumen!$B$21="Sí",IF(Resumen!$C$21&lt;=A22,IF(DATEDIF(Resumen!$C$21,A22,"Y")&lt;8,VLOOKUP(YEAR(A22),Resumen!$O$7:$P$12,2,0),0),0),0))</f>
        <v>0</v>
      </c>
      <c r="AC22" s="1">
        <f>IF(MONTH(A22)=12,VLOOKUP(YEAR(A22),Resumen!$O$7:$P$12,2,0),0)</f>
        <v>0</v>
      </c>
      <c r="AD22" s="1">
        <f t="shared" si="0"/>
        <v>0</v>
      </c>
      <c r="AE22" s="19">
        <f>(IF(Resumen!$B$25="Sí",IF(DATE(YEAR(Resumen!$C$25),MONTH(Resumen!$C$25),1)=A22,1000,0)+(IF(Resumen!$B$26="Sí",IF(DATE(YEAR(Resumen!$C$26),MONTH(Resumen!$C$26),1)=A22,1000,0),0)),0))</f>
        <v>0</v>
      </c>
      <c r="AF22" s="1">
        <v>0</v>
      </c>
      <c r="AG22" s="1">
        <v>0</v>
      </c>
      <c r="AH22" s="19">
        <v>130</v>
      </c>
      <c r="AI22" s="1">
        <f>IF(MONTH(A22)=1,(VLOOKUP(YEAR(A22),Resumen!$O$7:$P$12,2,0))*3,0)</f>
        <v>0</v>
      </c>
      <c r="AJ22" s="19">
        <f>IF(MONTH(A22)=12,(15+DATEDIF(Resumen!$B$6,A22,"y"))*50,0)</f>
        <v>0</v>
      </c>
      <c r="AK22" s="5">
        <f>IF(Resumen!$B$13="No",IF(Resumen!$B$12="No",20,100),0)</f>
        <v>20</v>
      </c>
      <c r="AL22" s="1">
        <f>IF(Resumen!$B$14="Código",(S22+T22+U22+Y22)*9.45%*-1,(S22+T22+U22+Y22)*11.45%*-1)</f>
        <v>-225.62682999999998</v>
      </c>
      <c r="AN22" s="3">
        <f t="shared" si="1"/>
        <v>200</v>
      </c>
      <c r="AO22" s="4">
        <f t="shared" si="2"/>
        <v>0</v>
      </c>
      <c r="AP22" s="4">
        <f t="shared" si="3"/>
        <v>0</v>
      </c>
      <c r="AQ22" s="4">
        <f t="shared" si="4"/>
        <v>60.680000000000007</v>
      </c>
      <c r="AR22" s="4">
        <f t="shared" si="5"/>
        <v>60.67</v>
      </c>
      <c r="AS22" s="4">
        <f t="shared" si="6"/>
        <v>528.24</v>
      </c>
      <c r="AT22" s="4">
        <f t="shared" si="7"/>
        <v>23.64</v>
      </c>
      <c r="AU22" s="4">
        <f t="shared" si="8"/>
        <v>50</v>
      </c>
      <c r="AV22" s="6">
        <f t="shared" si="9"/>
        <v>0</v>
      </c>
      <c r="AW22" s="6">
        <f t="shared" si="10"/>
        <v>0</v>
      </c>
      <c r="AX22" s="6">
        <f t="shared" si="11"/>
        <v>0</v>
      </c>
      <c r="AY22" s="6">
        <f t="shared" si="22"/>
        <v>130</v>
      </c>
      <c r="AZ22" s="6">
        <f t="shared" si="12"/>
        <v>20</v>
      </c>
      <c r="BA22" s="6">
        <f t="shared" si="23"/>
        <v>0</v>
      </c>
      <c r="BB22" s="6">
        <f t="shared" si="24"/>
        <v>0</v>
      </c>
      <c r="BC22" s="6">
        <f t="shared" si="25"/>
        <v>0</v>
      </c>
      <c r="BD22" s="6">
        <f t="shared" si="13"/>
        <v>-83.383479999999992</v>
      </c>
      <c r="BF22" s="3">
        <f t="shared" si="26"/>
        <v>989.84652000000006</v>
      </c>
      <c r="BG22" s="3">
        <f ca="1">BF22*Resumen!$P$14*((TODAY()-(A22+30))/360)</f>
        <v>317.80672268800004</v>
      </c>
    </row>
    <row r="23" spans="1:59" x14ac:dyDescent="0.25">
      <c r="A23" s="7">
        <v>43709</v>
      </c>
      <c r="B23" s="9">
        <f>IF(Resumen!$B$14="Código",IF(A23&lt;DATE(2021,7,1),Resumen!$B$7,Resumen!$B$7+300),IF(A23&lt;DATE(2022,3,1),Resumen!$B$7,Resumen!$B$7+300))</f>
        <v>1212</v>
      </c>
      <c r="C23" s="77">
        <v>0</v>
      </c>
      <c r="D23" s="77">
        <v>0</v>
      </c>
      <c r="E23" s="4">
        <f t="shared" si="14"/>
        <v>0</v>
      </c>
      <c r="F23" s="4">
        <f t="shared" si="15"/>
        <v>0</v>
      </c>
      <c r="G23" s="4">
        <f>IF(Resumen!$B$14="Código",IF(A23&lt;DATE(2021,7,1),(Resumen!$B$7*0.25%)*DATEDIF("1/1/2009",A23,"y"),IF(Resumen!$B$9="Sí",(((B23*0.03)+(VLOOKUP(YEAR(A23),Resumen!$O$7:$P$12,2,0)*0.05))*DATEDIF(MAX("1/5/2008",Resumen!$B$6),A23,"y")),(((B23*0.03)+(VLOOKUP(YEAR(A23),Resumen!$O$7:$P$12,2,0)*0.05))*DATEDIF(Resumen!$B$6,A23,"y")))),IF(A23&lt;DATE(2022,3,1),(Resumen!$B$7*0.25%)*DATEDIF("1/1/2009",A23,"y"),IF(Resumen!$B$9="Sí",(((B23*0.03)+(VLOOKUP(YEAR(A23),Resumen!$O$7:$P$12,2,0)*0.05))*DATEDIF(MAX("1/5/2008",Resumen!$B$6),A23,"y")),(((B23*0.03)+(VLOOKUP(YEAR(A23),Resumen!$O$7:$P$12,2,0)*0.05))*DATEDIF(Resumen!$B$6,A23,"y")))))</f>
        <v>30.300000000000004</v>
      </c>
      <c r="H23" s="4">
        <f t="shared" si="16"/>
        <v>103.53</v>
      </c>
      <c r="I23" s="4">
        <f t="shared" si="17"/>
        <v>103.48</v>
      </c>
      <c r="J23" s="1">
        <f>IF(Resumen!$B$14="Código",IF(A23&lt;DATE(2021,7,1),0,(0.03*(VLOOKUP(YEAR(A23),Resumen!$O$7:$P$12,2,0))*Resumen!$B$8)),IF(A23&lt;DATE(2022,3,1),0,(0.03*(VLOOKUP(YEAR(A23),Resumen!$O$7:$P$12,2,0))*Resumen!$B$8)))</f>
        <v>0</v>
      </c>
      <c r="K23" s="1">
        <f>IF(Resumen!$B$14="Código",IF(A23&lt;DATE(2021,7,1),0,50),IF(A23&lt;DATE(2022,3,1),0,50))</f>
        <v>0</v>
      </c>
      <c r="L23" s="1">
        <v>0</v>
      </c>
      <c r="M23" s="1">
        <v>0</v>
      </c>
      <c r="N23" s="1">
        <v>0</v>
      </c>
      <c r="O23" s="1">
        <v>0</v>
      </c>
      <c r="P23" s="1">
        <v>0</v>
      </c>
      <c r="Q23" s="1">
        <f>IF(Resumen!$B$14="Código",(B23+E23+F23+G23)*9.45%*-1,(B23+E23+F23+G23)*11.45%*-1)</f>
        <v>-142.24334999999999</v>
      </c>
      <c r="R23" s="3"/>
      <c r="S23" s="9">
        <f t="shared" si="28"/>
        <v>1412</v>
      </c>
      <c r="T23" s="4">
        <f t="shared" si="18"/>
        <v>0</v>
      </c>
      <c r="U23" s="4">
        <f t="shared" si="19"/>
        <v>0</v>
      </c>
      <c r="V23" s="4">
        <f t="shared" si="20"/>
        <v>164.21</v>
      </c>
      <c r="W23" s="4">
        <f t="shared" si="21"/>
        <v>164.15</v>
      </c>
      <c r="X23" s="4">
        <f>(0.03*(VLOOKUP(YEAR(A23),Resumen!$O$7:$P$12,2,0))*Resumen!$B$8)</f>
        <v>23.64</v>
      </c>
      <c r="Y23" s="4">
        <f>(((S23*0.03)+(VLOOKUP(YEAR(A23),Resumen!$O$7:$P$12,2,0)*0.05))*DATEDIF(Resumen!$B$6,A23,"y"))</f>
        <v>558.54</v>
      </c>
      <c r="Z23" s="3">
        <v>50</v>
      </c>
      <c r="AA23" s="1">
        <f>IF(DATEDIF(Resumen!$B$6,A23,"M")/12=5,S23/2,IF(DATEDIF(Resumen!$B$6,A23,"M")/12=10,S23,IF(DATEDIF(Resumen!$B$6,A23,"M")/12=15,S23*1.5,IF(DATEDIF(Resumen!$B$6,A23,"M")/12=20,S23*2,IF(DATEDIF(Resumen!$B$6,A23,"M")/12=25,S23*2.5,IF(DATEDIF(Resumen!$B$6,A23,"M")/12=30,S23*3,0))))))</f>
        <v>0</v>
      </c>
      <c r="AB23" s="19">
        <f>(IF(Resumen!$B$20="Sí",IF(Resumen!$C$20&lt;=A23,IF(DATEDIF(Resumen!$C$20,A23,"Y")&lt;8,VLOOKUP(YEAR(A23),Resumen!$O$7:$P$12,2,0),0),0),0))+(IF(Resumen!$B$21="Sí",IF(Resumen!$C$21&lt;=A23,IF(DATEDIF(Resumen!$C$21,A23,"Y")&lt;8,VLOOKUP(YEAR(A23),Resumen!$O$7:$P$12,2,0),0),0),0))</f>
        <v>0</v>
      </c>
      <c r="AC23" s="1">
        <f>IF(MONTH(A23)=12,VLOOKUP(YEAR(A23),Resumen!$O$7:$P$12,2,0),0)</f>
        <v>0</v>
      </c>
      <c r="AD23" s="1">
        <f t="shared" si="0"/>
        <v>0</v>
      </c>
      <c r="AE23" s="19">
        <f>(IF(Resumen!$B$25="Sí",IF(DATE(YEAR(Resumen!$C$25),MONTH(Resumen!$C$25),1)=A23,1000,0)+(IF(Resumen!$B$26="Sí",IF(DATE(YEAR(Resumen!$C$26),MONTH(Resumen!$C$26),1)=A23,1000,0),0)),0))</f>
        <v>0</v>
      </c>
      <c r="AF23" s="1">
        <v>0</v>
      </c>
      <c r="AG23" s="1">
        <v>0</v>
      </c>
      <c r="AH23" s="19">
        <v>130</v>
      </c>
      <c r="AI23" s="1">
        <f>IF(MONTH(A23)=1,(VLOOKUP(YEAR(A23),Resumen!$O$7:$P$12,2,0))*3,0)</f>
        <v>0</v>
      </c>
      <c r="AJ23" s="19">
        <f>IF(MONTH(A23)=12,(15+DATEDIF(Resumen!$B$6,A23,"y"))*50,0)</f>
        <v>0</v>
      </c>
      <c r="AK23" s="5">
        <f>IF(Resumen!$B$13="No",IF(Resumen!$B$12="No",20,100),0)</f>
        <v>20</v>
      </c>
      <c r="AL23" s="1">
        <f>IF(Resumen!$B$14="Código",(S23+T23+U23+Y23)*9.45%*-1,(S23+T23+U23+Y23)*11.45%*-1)</f>
        <v>-225.62682999999998</v>
      </c>
      <c r="AN23" s="3">
        <f t="shared" si="1"/>
        <v>200</v>
      </c>
      <c r="AO23" s="4">
        <f t="shared" si="2"/>
        <v>0</v>
      </c>
      <c r="AP23" s="4">
        <f t="shared" si="3"/>
        <v>0</v>
      </c>
      <c r="AQ23" s="4">
        <f t="shared" si="4"/>
        <v>60.680000000000007</v>
      </c>
      <c r="AR23" s="4">
        <f t="shared" si="5"/>
        <v>60.67</v>
      </c>
      <c r="AS23" s="4">
        <f t="shared" si="6"/>
        <v>528.24</v>
      </c>
      <c r="AT23" s="4">
        <f t="shared" si="7"/>
        <v>23.64</v>
      </c>
      <c r="AU23" s="4">
        <f t="shared" si="8"/>
        <v>50</v>
      </c>
      <c r="AV23" s="6">
        <f t="shared" si="9"/>
        <v>0</v>
      </c>
      <c r="AW23" s="6">
        <f t="shared" si="10"/>
        <v>0</v>
      </c>
      <c r="AX23" s="6">
        <f t="shared" si="11"/>
        <v>0</v>
      </c>
      <c r="AY23" s="6">
        <f t="shared" si="22"/>
        <v>130</v>
      </c>
      <c r="AZ23" s="6">
        <f t="shared" si="12"/>
        <v>20</v>
      </c>
      <c r="BA23" s="6">
        <f t="shared" si="23"/>
        <v>0</v>
      </c>
      <c r="BB23" s="6">
        <f t="shared" si="24"/>
        <v>0</v>
      </c>
      <c r="BC23" s="6">
        <f t="shared" si="25"/>
        <v>0</v>
      </c>
      <c r="BD23" s="6">
        <f t="shared" si="13"/>
        <v>-83.383479999999992</v>
      </c>
      <c r="BF23" s="3">
        <f t="shared" si="26"/>
        <v>989.84652000000006</v>
      </c>
      <c r="BG23" s="3">
        <f ca="1">BF23*Resumen!$P$14*((TODAY()-(A23+30))/360)</f>
        <v>310.16950687146664</v>
      </c>
    </row>
    <row r="24" spans="1:59" x14ac:dyDescent="0.25">
      <c r="A24" s="7">
        <v>43739</v>
      </c>
      <c r="B24" s="9">
        <f>IF(Resumen!$B$14="Código",IF(A24&lt;DATE(2021,7,1),Resumen!$B$7,Resumen!$B$7+300),IF(A24&lt;DATE(2022,3,1),Resumen!$B$7,Resumen!$B$7+300))</f>
        <v>1212</v>
      </c>
      <c r="C24" s="77">
        <v>0</v>
      </c>
      <c r="D24" s="77">
        <v>0</v>
      </c>
      <c r="E24" s="4">
        <f t="shared" si="14"/>
        <v>0</v>
      </c>
      <c r="F24" s="4">
        <f t="shared" si="15"/>
        <v>0</v>
      </c>
      <c r="G24" s="4">
        <f>IF(Resumen!$B$14="Código",IF(A24&lt;DATE(2021,7,1),(Resumen!$B$7*0.25%)*DATEDIF("1/1/2009",A24,"y"),IF(Resumen!$B$9="Sí",(((B24*0.03)+(VLOOKUP(YEAR(A24),Resumen!$O$7:$P$12,2,0)*0.05))*DATEDIF(MAX("1/5/2008",Resumen!$B$6),A24,"y")),(((B24*0.03)+(VLOOKUP(YEAR(A24),Resumen!$O$7:$P$12,2,0)*0.05))*DATEDIF(Resumen!$B$6,A24,"y")))),IF(A24&lt;DATE(2022,3,1),(Resumen!$B$7*0.25%)*DATEDIF("1/1/2009",A24,"y"),IF(Resumen!$B$9="Sí",(((B24*0.03)+(VLOOKUP(YEAR(A24),Resumen!$O$7:$P$12,2,0)*0.05))*DATEDIF(MAX("1/5/2008",Resumen!$B$6),A24,"y")),(((B24*0.03)+(VLOOKUP(YEAR(A24),Resumen!$O$7:$P$12,2,0)*0.05))*DATEDIF(Resumen!$B$6,A24,"y")))))</f>
        <v>30.300000000000004</v>
      </c>
      <c r="H24" s="4">
        <f t="shared" si="16"/>
        <v>103.53</v>
      </c>
      <c r="I24" s="4">
        <f t="shared" si="17"/>
        <v>103.48</v>
      </c>
      <c r="J24" s="1">
        <f>IF(Resumen!$B$14="Código",IF(A24&lt;DATE(2021,7,1),0,(0.03*(VLOOKUP(YEAR(A24),Resumen!$O$7:$P$12,2,0))*Resumen!$B$8)),IF(A24&lt;DATE(2022,3,1),0,(0.03*(VLOOKUP(YEAR(A24),Resumen!$O$7:$P$12,2,0))*Resumen!$B$8)))</f>
        <v>0</v>
      </c>
      <c r="K24" s="1">
        <f>IF(Resumen!$B$14="Código",IF(A24&lt;DATE(2021,7,1),0,50),IF(A24&lt;DATE(2022,3,1),0,50))</f>
        <v>0</v>
      </c>
      <c r="L24" s="1">
        <v>0</v>
      </c>
      <c r="M24" s="1">
        <v>0</v>
      </c>
      <c r="N24" s="1">
        <v>0</v>
      </c>
      <c r="O24" s="1">
        <v>0</v>
      </c>
      <c r="P24" s="1">
        <v>0</v>
      </c>
      <c r="Q24" s="1">
        <f>IF(Resumen!$B$14="Código",(B24+E24+F24+G24)*9.45%*-1,(B24+E24+F24+G24)*11.45%*-1)</f>
        <v>-142.24334999999999</v>
      </c>
      <c r="R24" s="3"/>
      <c r="S24" s="9">
        <f t="shared" si="28"/>
        <v>1412</v>
      </c>
      <c r="T24" s="4">
        <f t="shared" si="18"/>
        <v>0</v>
      </c>
      <c r="U24" s="4">
        <f t="shared" si="19"/>
        <v>0</v>
      </c>
      <c r="V24" s="4">
        <f t="shared" si="20"/>
        <v>164.21</v>
      </c>
      <c r="W24" s="4">
        <f t="shared" si="21"/>
        <v>164.15</v>
      </c>
      <c r="X24" s="4">
        <f>(0.03*(VLOOKUP(YEAR(A24),Resumen!$O$7:$P$12,2,0))*Resumen!$B$8)</f>
        <v>23.64</v>
      </c>
      <c r="Y24" s="4">
        <f>(((S24*0.03)+(VLOOKUP(YEAR(A24),Resumen!$O$7:$P$12,2,0)*0.05))*DATEDIF(Resumen!$B$6,A24,"y"))</f>
        <v>558.54</v>
      </c>
      <c r="Z24" s="3">
        <v>50</v>
      </c>
      <c r="AA24" s="1">
        <f>IF(DATEDIF(Resumen!$B$6,A24,"M")/12=5,S24/2,IF(DATEDIF(Resumen!$B$6,A24,"M")/12=10,S24,IF(DATEDIF(Resumen!$B$6,A24,"M")/12=15,S24*1.5,IF(DATEDIF(Resumen!$B$6,A24,"M")/12=20,S24*2,IF(DATEDIF(Resumen!$B$6,A24,"M")/12=25,S24*2.5,IF(DATEDIF(Resumen!$B$6,A24,"M")/12=30,S24*3,0))))))</f>
        <v>0</v>
      </c>
      <c r="AB24" s="19">
        <f>(IF(Resumen!$B$20="Sí",IF(Resumen!$C$20&lt;=A24,IF(DATEDIF(Resumen!$C$20,A24,"Y")&lt;8,VLOOKUP(YEAR(A24),Resumen!$O$7:$P$12,2,0),0),0),0))+(IF(Resumen!$B$21="Sí",IF(Resumen!$C$21&lt;=A24,IF(DATEDIF(Resumen!$C$21,A24,"Y")&lt;8,VLOOKUP(YEAR(A24),Resumen!$O$7:$P$12,2,0),0),0),0))</f>
        <v>0</v>
      </c>
      <c r="AC24" s="1">
        <f>IF(MONTH(A24)=12,VLOOKUP(YEAR(A24),Resumen!$O$7:$P$12,2,0),0)</f>
        <v>0</v>
      </c>
      <c r="AD24" s="1">
        <f t="shared" si="0"/>
        <v>0</v>
      </c>
      <c r="AE24" s="19">
        <f>(IF(Resumen!$B$25="Sí",IF(DATE(YEAR(Resumen!$C$25),MONTH(Resumen!$C$25),1)=A24,1000,0)+(IF(Resumen!$B$26="Sí",IF(DATE(YEAR(Resumen!$C$26),MONTH(Resumen!$C$26),1)=A24,1000,0),0)),0))</f>
        <v>0</v>
      </c>
      <c r="AF24" s="1">
        <v>0</v>
      </c>
      <c r="AG24" s="1">
        <v>0</v>
      </c>
      <c r="AH24" s="19">
        <v>130</v>
      </c>
      <c r="AI24" s="1">
        <f>IF(MONTH(A24)=1,(VLOOKUP(YEAR(A24),Resumen!$O$7:$P$12,2,0))*3,0)</f>
        <v>0</v>
      </c>
      <c r="AJ24" s="19">
        <f>IF(MONTH(A24)=12,(15+DATEDIF(Resumen!$B$6,A24,"y"))*50,0)</f>
        <v>0</v>
      </c>
      <c r="AK24" s="5">
        <f>IF(Resumen!$B$13="No",IF(Resumen!$B$12="No",20,100),0)</f>
        <v>20</v>
      </c>
      <c r="AL24" s="1">
        <f>IF(Resumen!$B$14="Código",(S24+T24+U24+Y24)*9.45%*-1,(S24+T24+U24+Y24)*11.45%*-1)</f>
        <v>-225.62682999999998</v>
      </c>
      <c r="AN24" s="3">
        <f t="shared" si="1"/>
        <v>200</v>
      </c>
      <c r="AO24" s="4">
        <f t="shared" si="2"/>
        <v>0</v>
      </c>
      <c r="AP24" s="4">
        <f t="shared" si="3"/>
        <v>0</v>
      </c>
      <c r="AQ24" s="4">
        <f t="shared" si="4"/>
        <v>60.680000000000007</v>
      </c>
      <c r="AR24" s="4">
        <f t="shared" si="5"/>
        <v>60.67</v>
      </c>
      <c r="AS24" s="4">
        <f t="shared" si="6"/>
        <v>528.24</v>
      </c>
      <c r="AT24" s="4">
        <f t="shared" si="7"/>
        <v>23.64</v>
      </c>
      <c r="AU24" s="4">
        <f t="shared" si="8"/>
        <v>50</v>
      </c>
      <c r="AV24" s="6">
        <f t="shared" si="9"/>
        <v>0</v>
      </c>
      <c r="AW24" s="6">
        <f t="shared" si="10"/>
        <v>0</v>
      </c>
      <c r="AX24" s="6">
        <f t="shared" si="11"/>
        <v>0</v>
      </c>
      <c r="AY24" s="6">
        <f t="shared" si="22"/>
        <v>130</v>
      </c>
      <c r="AZ24" s="6">
        <f t="shared" si="12"/>
        <v>20</v>
      </c>
      <c r="BA24" s="6">
        <f t="shared" si="23"/>
        <v>0</v>
      </c>
      <c r="BB24" s="6">
        <f t="shared" si="24"/>
        <v>0</v>
      </c>
      <c r="BC24" s="6">
        <f t="shared" si="25"/>
        <v>0</v>
      </c>
      <c r="BD24" s="6">
        <f t="shared" si="13"/>
        <v>-83.383479999999992</v>
      </c>
      <c r="BF24" s="3">
        <f t="shared" si="26"/>
        <v>989.84652000000006</v>
      </c>
      <c r="BG24" s="3">
        <f ca="1">BF24*Resumen!$P$14*((TODAY()-(A24+30))/360)</f>
        <v>302.77865285546665</v>
      </c>
    </row>
    <row r="25" spans="1:59" x14ac:dyDescent="0.25">
      <c r="A25" s="7">
        <v>43770</v>
      </c>
      <c r="B25" s="9">
        <f>IF(Resumen!$B$14="Código",IF(A25&lt;DATE(2021,7,1),Resumen!$B$7,Resumen!$B$7+300),IF(A25&lt;DATE(2022,3,1),Resumen!$B$7,Resumen!$B$7+300))</f>
        <v>1212</v>
      </c>
      <c r="C25" s="77">
        <v>0</v>
      </c>
      <c r="D25" s="77">
        <v>0</v>
      </c>
      <c r="E25" s="4">
        <f t="shared" si="14"/>
        <v>0</v>
      </c>
      <c r="F25" s="4">
        <f t="shared" si="15"/>
        <v>0</v>
      </c>
      <c r="G25" s="4">
        <f>IF(Resumen!$B$14="Código",IF(A25&lt;DATE(2021,7,1),(Resumen!$B$7*0.25%)*DATEDIF("1/1/2009",A25,"y"),IF(Resumen!$B$9="Sí",(((B25*0.03)+(VLOOKUP(YEAR(A25),Resumen!$O$7:$P$12,2,0)*0.05))*DATEDIF(MAX("1/5/2008",Resumen!$B$6),A25,"y")),(((B25*0.03)+(VLOOKUP(YEAR(A25),Resumen!$O$7:$P$12,2,0)*0.05))*DATEDIF(Resumen!$B$6,A25,"y")))),IF(A25&lt;DATE(2022,3,1),(Resumen!$B$7*0.25%)*DATEDIF("1/1/2009",A25,"y"),IF(Resumen!$B$9="Sí",(((B25*0.03)+(VLOOKUP(YEAR(A25),Resumen!$O$7:$P$12,2,0)*0.05))*DATEDIF(MAX("1/5/2008",Resumen!$B$6),A25,"y")),(((B25*0.03)+(VLOOKUP(YEAR(A25),Resumen!$O$7:$P$12,2,0)*0.05))*DATEDIF(Resumen!$B$6,A25,"y")))))</f>
        <v>30.300000000000004</v>
      </c>
      <c r="H25" s="4">
        <f t="shared" si="16"/>
        <v>103.53</v>
      </c>
      <c r="I25" s="4">
        <f t="shared" si="17"/>
        <v>103.48</v>
      </c>
      <c r="J25" s="1">
        <f>IF(Resumen!$B$14="Código",IF(A25&lt;DATE(2021,7,1),0,(0.03*(VLOOKUP(YEAR(A25),Resumen!$O$7:$P$12,2,0))*Resumen!$B$8)),IF(A25&lt;DATE(2022,3,1),0,(0.03*(VLOOKUP(YEAR(A25),Resumen!$O$7:$P$12,2,0))*Resumen!$B$8)))</f>
        <v>0</v>
      </c>
      <c r="K25" s="1">
        <f>IF(Resumen!$B$14="Código",IF(A25&lt;DATE(2021,7,1),0,50),IF(A25&lt;DATE(2022,3,1),0,50))</f>
        <v>0</v>
      </c>
      <c r="L25" s="1">
        <v>0</v>
      </c>
      <c r="M25" s="1">
        <v>0</v>
      </c>
      <c r="N25" s="1">
        <v>0</v>
      </c>
      <c r="O25" s="1">
        <v>0</v>
      </c>
      <c r="P25" s="1">
        <v>0</v>
      </c>
      <c r="Q25" s="1">
        <f>IF(Resumen!$B$14="Código",(B25+E25+F25+G25)*9.45%*-1,(B25+E25+F25+G25)*11.45%*-1)</f>
        <v>-142.24334999999999</v>
      </c>
      <c r="R25" s="3"/>
      <c r="S25" s="9">
        <f t="shared" si="28"/>
        <v>1412</v>
      </c>
      <c r="T25" s="4">
        <f t="shared" si="18"/>
        <v>0</v>
      </c>
      <c r="U25" s="4">
        <f t="shared" si="19"/>
        <v>0</v>
      </c>
      <c r="V25" s="4">
        <f t="shared" si="20"/>
        <v>164.21</v>
      </c>
      <c r="W25" s="4">
        <f t="shared" si="21"/>
        <v>164.15</v>
      </c>
      <c r="X25" s="4">
        <f>(0.03*(VLOOKUP(YEAR(A25),Resumen!$O$7:$P$12,2,0))*Resumen!$B$8)</f>
        <v>23.64</v>
      </c>
      <c r="Y25" s="4">
        <f>(((S25*0.03)+(VLOOKUP(YEAR(A25),Resumen!$O$7:$P$12,2,0)*0.05))*DATEDIF(Resumen!$B$6,A25,"y"))</f>
        <v>558.54</v>
      </c>
      <c r="Z25" s="3">
        <v>50</v>
      </c>
      <c r="AA25" s="1">
        <f>IF(DATEDIF(Resumen!$B$6,A25,"M")/12=5,S25/2,IF(DATEDIF(Resumen!$B$6,A25,"M")/12=10,S25,IF(DATEDIF(Resumen!$B$6,A25,"M")/12=15,S25*1.5,IF(DATEDIF(Resumen!$B$6,A25,"M")/12=20,S25*2,IF(DATEDIF(Resumen!$B$6,A25,"M")/12=25,S25*2.5,IF(DATEDIF(Resumen!$B$6,A25,"M")/12=30,S25*3,0))))))</f>
        <v>0</v>
      </c>
      <c r="AB25" s="19">
        <f>(IF(Resumen!$B$20="Sí",IF(Resumen!$C$20&lt;=A25,IF(DATEDIF(Resumen!$C$20,A25,"Y")&lt;8,VLOOKUP(YEAR(A25),Resumen!$O$7:$P$12,2,0),0),0),0))+(IF(Resumen!$B$21="Sí",IF(Resumen!$C$21&lt;=A25,IF(DATEDIF(Resumen!$C$21,A25,"Y")&lt;8,VLOOKUP(YEAR(A25),Resumen!$O$7:$P$12,2,0),0),0),0))</f>
        <v>0</v>
      </c>
      <c r="AC25" s="1">
        <f>IF(MONTH(A25)=12,VLOOKUP(YEAR(A25),Resumen!$O$7:$P$12,2,0),0)</f>
        <v>0</v>
      </c>
      <c r="AD25" s="1">
        <f t="shared" si="0"/>
        <v>0</v>
      </c>
      <c r="AE25" s="19">
        <f>(IF(Resumen!$B$25="Sí",IF(DATE(YEAR(Resumen!$C$25),MONTH(Resumen!$C$25),1)=A25,1000,0)+(IF(Resumen!$B$26="Sí",IF(DATE(YEAR(Resumen!$C$26),MONTH(Resumen!$C$26),1)=A25,1000,0),0)),0))</f>
        <v>0</v>
      </c>
      <c r="AF25" s="1">
        <v>0</v>
      </c>
      <c r="AG25" s="1">
        <v>0</v>
      </c>
      <c r="AH25" s="19">
        <v>130</v>
      </c>
      <c r="AI25" s="1">
        <f>IF(MONTH(A25)=1,(VLOOKUP(YEAR(A25),Resumen!$O$7:$P$12,2,0))*3,0)</f>
        <v>0</v>
      </c>
      <c r="AJ25" s="19">
        <f>IF(MONTH(A25)=12,(15+DATEDIF(Resumen!$B$6,A25,"y"))*50,0)</f>
        <v>0</v>
      </c>
      <c r="AK25" s="5">
        <f>IF(Resumen!$B$13="No",IF(Resumen!$B$12="No",20,100),0)</f>
        <v>20</v>
      </c>
      <c r="AL25" s="1">
        <f>IF(Resumen!$B$14="Código",(S25+T25+U25+Y25)*9.45%*-1,(S25+T25+U25+Y25)*11.45%*-1)</f>
        <v>-225.62682999999998</v>
      </c>
      <c r="AN25" s="3">
        <f t="shared" si="1"/>
        <v>200</v>
      </c>
      <c r="AO25" s="4">
        <f t="shared" si="2"/>
        <v>0</v>
      </c>
      <c r="AP25" s="4">
        <f t="shared" si="3"/>
        <v>0</v>
      </c>
      <c r="AQ25" s="4">
        <f t="shared" si="4"/>
        <v>60.680000000000007</v>
      </c>
      <c r="AR25" s="4">
        <f t="shared" si="5"/>
        <v>60.67</v>
      </c>
      <c r="AS25" s="4">
        <f t="shared" si="6"/>
        <v>528.24</v>
      </c>
      <c r="AT25" s="4">
        <f t="shared" si="7"/>
        <v>23.64</v>
      </c>
      <c r="AU25" s="4">
        <f t="shared" si="8"/>
        <v>50</v>
      </c>
      <c r="AV25" s="6">
        <f t="shared" si="9"/>
        <v>0</v>
      </c>
      <c r="AW25" s="6">
        <f t="shared" si="10"/>
        <v>0</v>
      </c>
      <c r="AX25" s="6">
        <f t="shared" si="11"/>
        <v>0</v>
      </c>
      <c r="AY25" s="6">
        <f t="shared" si="22"/>
        <v>130</v>
      </c>
      <c r="AZ25" s="6">
        <f t="shared" si="12"/>
        <v>20</v>
      </c>
      <c r="BA25" s="6">
        <f t="shared" si="23"/>
        <v>0</v>
      </c>
      <c r="BB25" s="6">
        <f t="shared" si="24"/>
        <v>0</v>
      </c>
      <c r="BC25" s="6">
        <f t="shared" si="25"/>
        <v>0</v>
      </c>
      <c r="BD25" s="6">
        <f t="shared" si="13"/>
        <v>-83.383479999999992</v>
      </c>
      <c r="BF25" s="3">
        <f t="shared" si="26"/>
        <v>989.84652000000006</v>
      </c>
      <c r="BG25" s="3">
        <f ca="1">BF25*Resumen!$P$14*((TODAY()-(A25+30))/360)</f>
        <v>295.14143703893336</v>
      </c>
    </row>
    <row r="26" spans="1:59" x14ac:dyDescent="0.25">
      <c r="A26" s="7">
        <v>43800</v>
      </c>
      <c r="B26" s="9">
        <f>IF(Resumen!$B$14="Código",IF(A26&lt;DATE(2021,7,1),Resumen!$B$7,Resumen!$B$7+300),IF(A26&lt;DATE(2022,3,1),Resumen!$B$7,Resumen!$B$7+300))</f>
        <v>1212</v>
      </c>
      <c r="C26" s="77">
        <v>0</v>
      </c>
      <c r="D26" s="77">
        <v>0</v>
      </c>
      <c r="E26" s="4">
        <f t="shared" si="14"/>
        <v>0</v>
      </c>
      <c r="F26" s="4">
        <f t="shared" si="15"/>
        <v>0</v>
      </c>
      <c r="G26" s="4">
        <f>IF(Resumen!$B$14="Código",IF(A26&lt;DATE(2021,7,1),(Resumen!$B$7*0.25%)*DATEDIF("1/1/2009",A26,"y"),IF(Resumen!$B$9="Sí",(((B26*0.03)+(VLOOKUP(YEAR(A26),Resumen!$O$7:$P$12,2,0)*0.05))*DATEDIF(MAX("1/5/2008",Resumen!$B$6),A26,"y")),(((B26*0.03)+(VLOOKUP(YEAR(A26),Resumen!$O$7:$P$12,2,0)*0.05))*DATEDIF(Resumen!$B$6,A26,"y")))),IF(A26&lt;DATE(2022,3,1),(Resumen!$B$7*0.25%)*DATEDIF("1/1/2009",A26,"y"),IF(Resumen!$B$9="Sí",(((B26*0.03)+(VLOOKUP(YEAR(A26),Resumen!$O$7:$P$12,2,0)*0.05))*DATEDIF(MAX("1/5/2008",Resumen!$B$6),A26,"y")),(((B26*0.03)+(VLOOKUP(YEAR(A26),Resumen!$O$7:$P$12,2,0)*0.05))*DATEDIF(Resumen!$B$6,A26,"y")))))</f>
        <v>30.300000000000004</v>
      </c>
      <c r="H26" s="4">
        <f t="shared" si="16"/>
        <v>103.53</v>
      </c>
      <c r="I26" s="4">
        <f t="shared" si="17"/>
        <v>103.48</v>
      </c>
      <c r="J26" s="1">
        <f>IF(Resumen!$B$14="Código",IF(A26&lt;DATE(2021,7,1),0,(0.03*(VLOOKUP(YEAR(A26),Resumen!$O$7:$P$12,2,0))*Resumen!$B$8)),IF(A26&lt;DATE(2022,3,1),0,(0.03*(VLOOKUP(YEAR(A26),Resumen!$O$7:$P$12,2,0))*Resumen!$B$8)))</f>
        <v>0</v>
      </c>
      <c r="K26" s="1">
        <f>IF(Resumen!$B$14="Código",IF(A26&lt;DATE(2021,7,1),0,50),IF(A26&lt;DATE(2022,3,1),0,50))</f>
        <v>0</v>
      </c>
      <c r="L26" s="1">
        <v>0</v>
      </c>
      <c r="M26" s="1">
        <v>0</v>
      </c>
      <c r="N26" s="1">
        <v>0</v>
      </c>
      <c r="O26" s="1">
        <v>0</v>
      </c>
      <c r="P26" s="1">
        <v>0</v>
      </c>
      <c r="Q26" s="1">
        <f>IF(Resumen!$B$14="Código",(B26+E26+F26+G26)*9.45%*-1,(B26+E26+F26+G26)*11.45%*-1)</f>
        <v>-142.24334999999999</v>
      </c>
      <c r="R26" s="3"/>
      <c r="S26" s="9">
        <f t="shared" si="28"/>
        <v>1412</v>
      </c>
      <c r="T26" s="4">
        <f t="shared" si="18"/>
        <v>0</v>
      </c>
      <c r="U26" s="4">
        <f t="shared" si="19"/>
        <v>0</v>
      </c>
      <c r="V26" s="4">
        <f t="shared" si="20"/>
        <v>164.21</v>
      </c>
      <c r="W26" s="4">
        <f t="shared" si="21"/>
        <v>164.15</v>
      </c>
      <c r="X26" s="4">
        <f>(0.03*(VLOOKUP(YEAR(A26),Resumen!$O$7:$P$12,2,0))*Resumen!$B$8)</f>
        <v>23.64</v>
      </c>
      <c r="Y26" s="4">
        <f>(((S26*0.03)+(VLOOKUP(YEAR(A26),Resumen!$O$7:$P$12,2,0)*0.05))*DATEDIF(Resumen!$B$6,A26,"y"))</f>
        <v>558.54</v>
      </c>
      <c r="Z26" s="3">
        <v>50</v>
      </c>
      <c r="AA26" s="1">
        <f>IF(DATEDIF(Resumen!$B$6,A26,"M")/12=5,S26/2,IF(DATEDIF(Resumen!$B$6,A26,"M")/12=10,S26,IF(DATEDIF(Resumen!$B$6,A26,"M")/12=15,S26*1.5,IF(DATEDIF(Resumen!$B$6,A26,"M")/12=20,S26*2,IF(DATEDIF(Resumen!$B$6,A26,"M")/12=25,S26*2.5,IF(DATEDIF(Resumen!$B$6,A26,"M")/12=30,S26*3,0))))))</f>
        <v>0</v>
      </c>
      <c r="AB26" s="19">
        <f>(IF(Resumen!$B$20="Sí",IF(Resumen!$C$20&lt;=A26,IF(DATEDIF(Resumen!$C$20,A26,"Y")&lt;8,VLOOKUP(YEAR(A26),Resumen!$O$7:$P$12,2,0),0),0),0))+(IF(Resumen!$B$21="Sí",IF(Resumen!$C$21&lt;=A26,IF(DATEDIF(Resumen!$C$21,A26,"Y")&lt;8,VLOOKUP(YEAR(A26),Resumen!$O$7:$P$12,2,0),0),0),0))</f>
        <v>0</v>
      </c>
      <c r="AC26" s="1">
        <f>IF(MONTH(A26)=12,VLOOKUP(YEAR(A26),Resumen!$O$7:$P$12,2,0),0)</f>
        <v>394</v>
      </c>
      <c r="AD26" s="1">
        <f t="shared" si="0"/>
        <v>100</v>
      </c>
      <c r="AE26" s="19">
        <f>(IF(Resumen!$B$25="Sí",IF(DATE(YEAR(Resumen!$C$25),MONTH(Resumen!$C$25),1)=A26,1000,0)+(IF(Resumen!$B$26="Sí",IF(DATE(YEAR(Resumen!$C$26),MONTH(Resumen!$C$26),1)=A26,1000,0),0)),0))</f>
        <v>0</v>
      </c>
      <c r="AF26" s="1">
        <v>0</v>
      </c>
      <c r="AG26" s="1">
        <v>0</v>
      </c>
      <c r="AH26" s="19">
        <v>130</v>
      </c>
      <c r="AI26" s="1">
        <f>IF(MONTH(A26)=1,(VLOOKUP(YEAR(A26),Resumen!$O$7:$P$12,2,0))*3,0)</f>
        <v>0</v>
      </c>
      <c r="AJ26" s="19">
        <f>IF(MONTH(A26)=12,(15+DATEDIF(Resumen!$B$6,A26,"y"))*50,0)</f>
        <v>1200</v>
      </c>
      <c r="AK26" s="5">
        <f>IF(Resumen!$B$13="No",IF(Resumen!$B$12="No",20,100),0)</f>
        <v>20</v>
      </c>
      <c r="AL26" s="1">
        <f>IF(Resumen!$B$14="Código",(S26+T26+U26+Y26)*9.45%*-1,(S26+T26+U26+Y26)*11.45%*-1)</f>
        <v>-225.62682999999998</v>
      </c>
      <c r="AN26" s="3">
        <f t="shared" si="1"/>
        <v>200</v>
      </c>
      <c r="AO26" s="4">
        <f t="shared" si="2"/>
        <v>0</v>
      </c>
      <c r="AP26" s="4">
        <f t="shared" si="3"/>
        <v>0</v>
      </c>
      <c r="AQ26" s="4">
        <f t="shared" si="4"/>
        <v>60.680000000000007</v>
      </c>
      <c r="AR26" s="4">
        <f t="shared" si="5"/>
        <v>60.67</v>
      </c>
      <c r="AS26" s="4">
        <f t="shared" si="6"/>
        <v>528.24</v>
      </c>
      <c r="AT26" s="4">
        <f t="shared" si="7"/>
        <v>23.64</v>
      </c>
      <c r="AU26" s="4">
        <f t="shared" si="8"/>
        <v>50</v>
      </c>
      <c r="AV26" s="6">
        <f t="shared" si="9"/>
        <v>394</v>
      </c>
      <c r="AW26" s="6">
        <f t="shared" si="10"/>
        <v>100</v>
      </c>
      <c r="AX26" s="6">
        <f t="shared" si="11"/>
        <v>0</v>
      </c>
      <c r="AY26" s="6">
        <f t="shared" si="22"/>
        <v>130</v>
      </c>
      <c r="AZ26" s="6">
        <f t="shared" si="12"/>
        <v>20</v>
      </c>
      <c r="BA26" s="6">
        <f t="shared" si="23"/>
        <v>0</v>
      </c>
      <c r="BB26" s="6">
        <f t="shared" si="24"/>
        <v>0</v>
      </c>
      <c r="BC26" s="6">
        <f t="shared" si="25"/>
        <v>1200</v>
      </c>
      <c r="BD26" s="6">
        <f t="shared" si="13"/>
        <v>-83.383479999999992</v>
      </c>
      <c r="BF26" s="3">
        <f t="shared" si="26"/>
        <v>2683.8465200000001</v>
      </c>
      <c r="BG26" s="3">
        <f ca="1">BF26*Resumen!$P$14*((TODAY()-(A26+30))/360)</f>
        <v>780.20014746737786</v>
      </c>
    </row>
    <row r="27" spans="1:59" x14ac:dyDescent="0.25">
      <c r="A27" s="7">
        <v>43831</v>
      </c>
      <c r="B27" s="9">
        <f>IF(Resumen!$B$14="Código",IF(A27&lt;DATE(2021,7,1),Resumen!$B$7,Resumen!$B$7+300),IF(A27&lt;DATE(2022,3,1),Resumen!$B$7,Resumen!$B$7+300))</f>
        <v>1212</v>
      </c>
      <c r="C27" s="77">
        <v>0</v>
      </c>
      <c r="D27" s="77">
        <v>0</v>
      </c>
      <c r="E27" s="4">
        <f t="shared" si="14"/>
        <v>0</v>
      </c>
      <c r="F27" s="4">
        <f t="shared" si="15"/>
        <v>0</v>
      </c>
      <c r="G27" s="4">
        <f>IF(Resumen!$B$14="Código",IF(A27&lt;DATE(2021,7,1),(Resumen!$B$7*0.25%)*DATEDIF("1/1/2009",A27,"y"),IF(Resumen!$B$9="Sí",(((B27*0.03)+(VLOOKUP(YEAR(A27),Resumen!$O$7:$P$12,2,0)*0.05))*DATEDIF(MAX("1/5/2008",Resumen!$B$6),A27,"y")),(((B27*0.03)+(VLOOKUP(YEAR(A27),Resumen!$O$7:$P$12,2,0)*0.05))*DATEDIF(Resumen!$B$6,A27,"y")))),IF(A27&lt;DATE(2022,3,1),(Resumen!$B$7*0.25%)*DATEDIF("1/1/2009",A27,"y"),IF(Resumen!$B$9="Sí",(((B27*0.03)+(VLOOKUP(YEAR(A27),Resumen!$O$7:$P$12,2,0)*0.05))*DATEDIF(MAX("1/5/2008",Resumen!$B$6),A27,"y")),(((B27*0.03)+(VLOOKUP(YEAR(A27),Resumen!$O$7:$P$12,2,0)*0.05))*DATEDIF(Resumen!$B$6,A27,"y")))))</f>
        <v>33.330000000000005</v>
      </c>
      <c r="H27" s="4">
        <f t="shared" si="16"/>
        <v>103.78</v>
      </c>
      <c r="I27" s="4">
        <f t="shared" si="17"/>
        <v>103.74</v>
      </c>
      <c r="J27" s="1">
        <f>IF(Resumen!$B$14="Código",IF(A27&lt;DATE(2021,7,1),0,(0.03*(VLOOKUP(YEAR(A27),Resumen!$O$7:$P$12,2,0))*Resumen!$B$8)),IF(A27&lt;DATE(2022,3,1),0,(0.03*(VLOOKUP(YEAR(A27),Resumen!$O$7:$P$12,2,0))*Resumen!$B$8)))</f>
        <v>0</v>
      </c>
      <c r="K27" s="1">
        <f>IF(Resumen!$B$14="Código",IF(A27&lt;DATE(2021,7,1),0,50),IF(A27&lt;DATE(2022,3,1),0,50))</f>
        <v>0</v>
      </c>
      <c r="L27" s="1">
        <v>0</v>
      </c>
      <c r="M27" s="1">
        <v>0</v>
      </c>
      <c r="N27" s="1">
        <v>0</v>
      </c>
      <c r="O27" s="1">
        <v>0</v>
      </c>
      <c r="P27" s="1">
        <v>0</v>
      </c>
      <c r="Q27" s="1">
        <f>IF(Resumen!$B$14="Código",(B27+E27+F27+G27)*9.45%*-1,(B27+E27+F27+G27)*11.45%*-1)</f>
        <v>-142.59028499999997</v>
      </c>
      <c r="R27" s="3"/>
      <c r="S27" s="9">
        <f>S26+100</f>
        <v>1512</v>
      </c>
      <c r="T27" s="4">
        <f t="shared" si="18"/>
        <v>0</v>
      </c>
      <c r="U27" s="4">
        <f t="shared" si="19"/>
        <v>0</v>
      </c>
      <c r="V27" s="4">
        <f t="shared" si="20"/>
        <v>175.02</v>
      </c>
      <c r="W27" s="4">
        <f t="shared" si="21"/>
        <v>174.95</v>
      </c>
      <c r="X27" s="4">
        <f>(0.03*(VLOOKUP(YEAR(A27),Resumen!$O$7:$P$12,2,0))*Resumen!$B$8)</f>
        <v>24</v>
      </c>
      <c r="Y27" s="4">
        <f>(((S27*0.03)+(VLOOKUP(YEAR(A27),Resumen!$O$7:$P$12,2,0)*0.05))*DATEDIF(Resumen!$B$6,A27,"y"))</f>
        <v>588.24</v>
      </c>
      <c r="Z27" s="3">
        <v>50</v>
      </c>
      <c r="AA27" s="1">
        <f>IF(DATEDIF(Resumen!$B$6,A27,"M")/12=5,S27/2,IF(DATEDIF(Resumen!$B$6,A27,"M")/12=10,S27,IF(DATEDIF(Resumen!$B$6,A27,"M")/12=15,S27*1.5,IF(DATEDIF(Resumen!$B$6,A27,"M")/12=20,S27*2,IF(DATEDIF(Resumen!$B$6,A27,"M")/12=25,S27*2.5,IF(DATEDIF(Resumen!$B$6,A27,"M")/12=30,S27*3,0))))))</f>
        <v>0</v>
      </c>
      <c r="AB27" s="19">
        <f>(IF(Resumen!$B$20="Sí",IF(Resumen!$C$20&lt;=A27,IF(DATEDIF(Resumen!$C$20,A27,"Y")&lt;8,VLOOKUP(YEAR(A27),Resumen!$O$7:$P$12,2,0),0),0),0))+(IF(Resumen!$B$21="Sí",IF(Resumen!$C$21&lt;=A27,IF(DATEDIF(Resumen!$C$21,A27,"Y")&lt;8,VLOOKUP(YEAR(A27),Resumen!$O$7:$P$12,2,0),0),0),0))</f>
        <v>0</v>
      </c>
      <c r="AC27" s="1">
        <f>IF(MONTH(A27)=12,VLOOKUP(YEAR(A27),Resumen!$O$7:$P$12,2,0),0)</f>
        <v>0</v>
      </c>
      <c r="AD27" s="1">
        <f t="shared" si="0"/>
        <v>0</v>
      </c>
      <c r="AE27" s="19">
        <f>(IF(Resumen!$B$25="Sí",IF(DATE(YEAR(Resumen!$C$25),MONTH(Resumen!$C$25),1)=A27,1000,0)+(IF(Resumen!$B$26="Sí",IF(DATE(YEAR(Resumen!$C$26),MONTH(Resumen!$C$26),1)=A27,1000,0),0)),0))</f>
        <v>0</v>
      </c>
      <c r="AF27" s="1">
        <v>0</v>
      </c>
      <c r="AG27" s="1">
        <v>0</v>
      </c>
      <c r="AH27" s="19">
        <v>130</v>
      </c>
      <c r="AI27" s="1">
        <f>IF(MONTH(A27)=1,(VLOOKUP(YEAR(A27),Resumen!$O$7:$P$12,2,0))*3,0)</f>
        <v>1200</v>
      </c>
      <c r="AJ27" s="19">
        <f>IF(MONTH(A27)=12,(15+DATEDIF(Resumen!$B$6,A27,"y"))*50,0)</f>
        <v>0</v>
      </c>
      <c r="AK27" s="5">
        <f>IF(Resumen!$B$13="No",IF(Resumen!$B$12="No",20,100),0)</f>
        <v>20</v>
      </c>
      <c r="AL27" s="1">
        <f>IF(Resumen!$B$14="Código",(S27+T27+U27+Y27)*9.45%*-1,(S27+T27+U27+Y27)*11.45%*-1)</f>
        <v>-240.47747999999996</v>
      </c>
      <c r="AN27" s="3">
        <f t="shared" si="1"/>
        <v>300</v>
      </c>
      <c r="AO27" s="4">
        <f t="shared" si="2"/>
        <v>0</v>
      </c>
      <c r="AP27" s="4">
        <f t="shared" si="3"/>
        <v>0</v>
      </c>
      <c r="AQ27" s="4">
        <f t="shared" si="4"/>
        <v>71.240000000000009</v>
      </c>
      <c r="AR27" s="4">
        <f t="shared" si="5"/>
        <v>71.209999999999994</v>
      </c>
      <c r="AS27" s="4">
        <f t="shared" si="6"/>
        <v>554.91</v>
      </c>
      <c r="AT27" s="4">
        <f t="shared" si="7"/>
        <v>24</v>
      </c>
      <c r="AU27" s="4">
        <f t="shared" si="8"/>
        <v>50</v>
      </c>
      <c r="AV27" s="6">
        <f t="shared" si="9"/>
        <v>0</v>
      </c>
      <c r="AW27" s="6">
        <f t="shared" si="10"/>
        <v>0</v>
      </c>
      <c r="AX27" s="6">
        <f t="shared" si="11"/>
        <v>0</v>
      </c>
      <c r="AY27" s="6">
        <f t="shared" si="22"/>
        <v>130</v>
      </c>
      <c r="AZ27" s="6">
        <f t="shared" si="12"/>
        <v>20</v>
      </c>
      <c r="BA27" s="6">
        <f t="shared" si="23"/>
        <v>0</v>
      </c>
      <c r="BB27" s="6">
        <f t="shared" si="24"/>
        <v>0</v>
      </c>
      <c r="BC27" s="6">
        <f t="shared" si="25"/>
        <v>0</v>
      </c>
      <c r="BD27" s="6">
        <f t="shared" si="13"/>
        <v>-97.887194999999991</v>
      </c>
      <c r="BF27" s="3">
        <f t="shared" si="26"/>
        <v>1123.4728049999999</v>
      </c>
      <c r="BG27" s="3">
        <f ca="1">BF27*Resumen!$P$14*((TODAY()-(A27+30))/360)</f>
        <v>317.92782417759992</v>
      </c>
    </row>
    <row r="28" spans="1:59" x14ac:dyDescent="0.25">
      <c r="A28" s="7">
        <v>43862</v>
      </c>
      <c r="B28" s="9">
        <f>IF(Resumen!$B$14="Código",IF(A28&lt;DATE(2021,7,1),Resumen!$B$7,Resumen!$B$7+300),IF(A28&lt;DATE(2022,3,1),Resumen!$B$7,Resumen!$B$7+300))</f>
        <v>1212</v>
      </c>
      <c r="C28" s="77">
        <v>0</v>
      </c>
      <c r="D28" s="77">
        <v>0</v>
      </c>
      <c r="E28" s="4">
        <f t="shared" si="14"/>
        <v>0</v>
      </c>
      <c r="F28" s="4">
        <f t="shared" si="15"/>
        <v>0</v>
      </c>
      <c r="G28" s="4">
        <f>IF(Resumen!$B$14="Código",IF(A28&lt;DATE(2021,7,1),(Resumen!$B$7*0.25%)*DATEDIF("1/1/2009",A28,"y"),IF(Resumen!$B$9="Sí",(((B28*0.03)+(VLOOKUP(YEAR(A28),Resumen!$O$7:$P$12,2,0)*0.05))*DATEDIF(MAX("1/5/2008",Resumen!$B$6),A28,"y")),(((B28*0.03)+(VLOOKUP(YEAR(A28),Resumen!$O$7:$P$12,2,0)*0.05))*DATEDIF(Resumen!$B$6,A28,"y")))),IF(A28&lt;DATE(2022,3,1),(Resumen!$B$7*0.25%)*DATEDIF("1/1/2009",A28,"y"),IF(Resumen!$B$9="Sí",(((B28*0.03)+(VLOOKUP(YEAR(A28),Resumen!$O$7:$P$12,2,0)*0.05))*DATEDIF(MAX("1/5/2008",Resumen!$B$6),A28,"y")),(((B28*0.03)+(VLOOKUP(YEAR(A28),Resumen!$O$7:$P$12,2,0)*0.05))*DATEDIF(Resumen!$B$6,A28,"y")))))</f>
        <v>33.330000000000005</v>
      </c>
      <c r="H28" s="4">
        <f t="shared" si="16"/>
        <v>103.78</v>
      </c>
      <c r="I28" s="4">
        <f t="shared" si="17"/>
        <v>103.74</v>
      </c>
      <c r="J28" s="1">
        <f>IF(Resumen!$B$14="Código",IF(A28&lt;DATE(2021,7,1),0,(0.03*(VLOOKUP(YEAR(A28),Resumen!$O$7:$P$12,2,0))*Resumen!$B$8)),IF(A28&lt;DATE(2022,3,1),0,(0.03*(VLOOKUP(YEAR(A28),Resumen!$O$7:$P$12,2,0))*Resumen!$B$8)))</f>
        <v>0</v>
      </c>
      <c r="K28" s="1">
        <f>IF(Resumen!$B$14="Código",IF(A28&lt;DATE(2021,7,1),0,50),IF(A28&lt;DATE(2022,3,1),0,50))</f>
        <v>0</v>
      </c>
      <c r="L28" s="1">
        <v>0</v>
      </c>
      <c r="M28" s="1">
        <v>0</v>
      </c>
      <c r="N28" s="1">
        <v>0</v>
      </c>
      <c r="O28" s="1">
        <v>0</v>
      </c>
      <c r="P28" s="1">
        <v>0</v>
      </c>
      <c r="Q28" s="1">
        <f>IF(Resumen!$B$14="Código",(B28+E28+F28+G28)*9.45%*-1,(B28+E28+F28+G28)*11.45%*-1)</f>
        <v>-142.59028499999997</v>
      </c>
      <c r="R28" s="3"/>
      <c r="S28" s="9">
        <f t="shared" si="28"/>
        <v>1512</v>
      </c>
      <c r="T28" s="4">
        <f t="shared" si="18"/>
        <v>0</v>
      </c>
      <c r="U28" s="4">
        <f t="shared" si="19"/>
        <v>0</v>
      </c>
      <c r="V28" s="4">
        <f t="shared" si="20"/>
        <v>180.47</v>
      </c>
      <c r="W28" s="4">
        <f t="shared" si="21"/>
        <v>180.39</v>
      </c>
      <c r="X28" s="4">
        <f>(0.03*(VLOOKUP(YEAR(A28),Resumen!$O$7:$P$12,2,0))*Resumen!$B$8)</f>
        <v>24</v>
      </c>
      <c r="Y28" s="4">
        <f>(((S28*0.03)+(VLOOKUP(YEAR(A28),Resumen!$O$7:$P$12,2,0)*0.05))*DATEDIF(Resumen!$B$6,A28,"y"))</f>
        <v>653.6</v>
      </c>
      <c r="Z28" s="3">
        <v>50</v>
      </c>
      <c r="AA28" s="1">
        <f>IF(DATEDIF(Resumen!$B$6,A28,"M")/12=5,S28/2,IF(DATEDIF(Resumen!$B$6,A28,"M")/12=10,S28,IF(DATEDIF(Resumen!$B$6,A28,"M")/12=15,S28*1.5,IF(DATEDIF(Resumen!$B$6,A28,"M")/12=20,S28*2,IF(DATEDIF(Resumen!$B$6,A28,"M")/12=25,S28*2.5,IF(DATEDIF(Resumen!$B$6,A28,"M")/12=30,S28*3,0))))))</f>
        <v>1512</v>
      </c>
      <c r="AB28" s="19">
        <f>(IF(Resumen!$B$20="Sí",IF(Resumen!$C$20&lt;=A28,IF(DATEDIF(Resumen!$C$20,A28,"Y")&lt;8,VLOOKUP(YEAR(A28),Resumen!$O$7:$P$12,2,0),0),0),0))+(IF(Resumen!$B$21="Sí",IF(Resumen!$C$21&lt;=A28,IF(DATEDIF(Resumen!$C$21,A28,"Y")&lt;8,VLOOKUP(YEAR(A28),Resumen!$O$7:$P$12,2,0),0),0),0))</f>
        <v>0</v>
      </c>
      <c r="AC28" s="1">
        <f>IF(MONTH(A28)=12,VLOOKUP(YEAR(A28),Resumen!$O$7:$P$12,2,0),0)</f>
        <v>0</v>
      </c>
      <c r="AD28" s="1">
        <f t="shared" si="0"/>
        <v>0</v>
      </c>
      <c r="AE28" s="19">
        <f>(IF(Resumen!$B$25="Sí",IF(DATE(YEAR(Resumen!$C$25),MONTH(Resumen!$C$25),1)=A28,1000,0)+(IF(Resumen!$B$26="Sí",IF(DATE(YEAR(Resumen!$C$26),MONTH(Resumen!$C$26),1)=A28,1000,0),0)),0))</f>
        <v>0</v>
      </c>
      <c r="AF28" s="1">
        <v>0</v>
      </c>
      <c r="AG28" s="1">
        <v>0</v>
      </c>
      <c r="AH28" s="19">
        <v>130</v>
      </c>
      <c r="AI28" s="1">
        <f>IF(MONTH(A28)=1,(VLOOKUP(YEAR(A28),Resumen!$O$7:$P$12,2,0))*3,0)</f>
        <v>0</v>
      </c>
      <c r="AJ28" s="19">
        <f>IF(MONTH(A28)=12,(15+DATEDIF(Resumen!$B$6,A28,"y"))*50,0)</f>
        <v>0</v>
      </c>
      <c r="AK28" s="5">
        <f>IF(Resumen!$B$13="No",IF(Resumen!$B$12="No",20,100),0)</f>
        <v>20</v>
      </c>
      <c r="AL28" s="1">
        <f>IF(Resumen!$B$14="Código",(S28+T28+U28+Y28)*9.45%*-1,(S28+T28+U28+Y28)*11.45%*-1)</f>
        <v>-247.96119999999996</v>
      </c>
      <c r="AN28" s="3">
        <f t="shared" si="1"/>
        <v>300</v>
      </c>
      <c r="AO28" s="4">
        <f t="shared" si="2"/>
        <v>0</v>
      </c>
      <c r="AP28" s="4">
        <f t="shared" si="3"/>
        <v>0</v>
      </c>
      <c r="AQ28" s="4">
        <f t="shared" si="4"/>
        <v>76.69</v>
      </c>
      <c r="AR28" s="4">
        <f t="shared" si="5"/>
        <v>76.649999999999991</v>
      </c>
      <c r="AS28" s="4">
        <f t="shared" si="6"/>
        <v>620.27</v>
      </c>
      <c r="AT28" s="4">
        <f t="shared" si="7"/>
        <v>24</v>
      </c>
      <c r="AU28" s="4">
        <f t="shared" si="8"/>
        <v>50</v>
      </c>
      <c r="AV28" s="6">
        <f t="shared" si="9"/>
        <v>0</v>
      </c>
      <c r="AW28" s="6">
        <f t="shared" si="10"/>
        <v>0</v>
      </c>
      <c r="AX28" s="6">
        <f t="shared" si="11"/>
        <v>0</v>
      </c>
      <c r="AY28" s="6">
        <f t="shared" si="22"/>
        <v>130</v>
      </c>
      <c r="AZ28" s="6">
        <f t="shared" si="12"/>
        <v>20</v>
      </c>
      <c r="BA28" s="6">
        <f t="shared" si="23"/>
        <v>1512</v>
      </c>
      <c r="BB28" s="6">
        <f t="shared" si="24"/>
        <v>0</v>
      </c>
      <c r="BC28" s="6">
        <f t="shared" si="25"/>
        <v>0</v>
      </c>
      <c r="BD28" s="6">
        <f t="shared" si="13"/>
        <v>-105.370915</v>
      </c>
      <c r="BF28" s="3">
        <f t="shared" si="26"/>
        <v>2704.2390849999997</v>
      </c>
      <c r="BG28" s="3">
        <f ca="1">BF28*Resumen!$P$14*((TODAY()-(A28+30))/360)</f>
        <v>744.39889763804445</v>
      </c>
    </row>
    <row r="29" spans="1:59" x14ac:dyDescent="0.25">
      <c r="A29" s="7">
        <v>43891</v>
      </c>
      <c r="B29" s="9">
        <f>IF(Resumen!$B$14="Código",IF(A29&lt;DATE(2021,7,1),Resumen!$B$7,Resumen!$B$7+300),IF(A29&lt;DATE(2022,3,1),Resumen!$B$7,Resumen!$B$7+300))</f>
        <v>1212</v>
      </c>
      <c r="C29" s="77">
        <v>0</v>
      </c>
      <c r="D29" s="77">
        <v>0</v>
      </c>
      <c r="E29" s="4">
        <f t="shared" si="14"/>
        <v>0</v>
      </c>
      <c r="F29" s="4">
        <f t="shared" si="15"/>
        <v>0</v>
      </c>
      <c r="G29" s="4">
        <f>IF(Resumen!$B$14="Código",IF(A29&lt;DATE(2021,7,1),(Resumen!$B$7*0.25%)*DATEDIF("1/1/2009",A29,"y"),IF(Resumen!$B$9="Sí",(((B29*0.03)+(VLOOKUP(YEAR(A29),Resumen!$O$7:$P$12,2,0)*0.05))*DATEDIF(MAX("1/5/2008",Resumen!$B$6),A29,"y")),(((B29*0.03)+(VLOOKUP(YEAR(A29),Resumen!$O$7:$P$12,2,0)*0.05))*DATEDIF(Resumen!$B$6,A29,"y")))),IF(A29&lt;DATE(2022,3,1),(Resumen!$B$7*0.25%)*DATEDIF("1/1/2009",A29,"y"),IF(Resumen!$B$9="Sí",(((B29*0.03)+(VLOOKUP(YEAR(A29),Resumen!$O$7:$P$12,2,0)*0.05))*DATEDIF(MAX("1/5/2008",Resumen!$B$6),A29,"y")),(((B29*0.03)+(VLOOKUP(YEAR(A29),Resumen!$O$7:$P$12,2,0)*0.05))*DATEDIF(Resumen!$B$6,A29,"y")))))</f>
        <v>33.330000000000005</v>
      </c>
      <c r="H29" s="4">
        <f t="shared" si="16"/>
        <v>103.78</v>
      </c>
      <c r="I29" s="4">
        <f t="shared" si="17"/>
        <v>103.74</v>
      </c>
      <c r="J29" s="1">
        <f>IF(Resumen!$B$14="Código",IF(A29&lt;DATE(2021,7,1),0,(0.03*(VLOOKUP(YEAR(A29),Resumen!$O$7:$P$12,2,0))*Resumen!$B$8)),IF(A29&lt;DATE(2022,3,1),0,(0.03*(VLOOKUP(YEAR(A29),Resumen!$O$7:$P$12,2,0))*Resumen!$B$8)))</f>
        <v>0</v>
      </c>
      <c r="K29" s="1">
        <f>IF(Resumen!$B$14="Código",IF(A29&lt;DATE(2021,7,1),0,50),IF(A29&lt;DATE(2022,3,1),0,50))</f>
        <v>0</v>
      </c>
      <c r="L29" s="1">
        <v>0</v>
      </c>
      <c r="M29" s="1">
        <v>0</v>
      </c>
      <c r="N29" s="1">
        <v>0</v>
      </c>
      <c r="O29" s="1">
        <v>0</v>
      </c>
      <c r="P29" s="1">
        <v>0</v>
      </c>
      <c r="Q29" s="1">
        <f>IF(Resumen!$B$14="Código",(B29+E29+F29+G29)*9.45%*-1,(B29+E29+F29+G29)*11.45%*-1)</f>
        <v>-142.59028499999997</v>
      </c>
      <c r="R29" s="3"/>
      <c r="S29" s="9">
        <f t="shared" si="28"/>
        <v>1512</v>
      </c>
      <c r="T29" s="4">
        <f t="shared" si="18"/>
        <v>0</v>
      </c>
      <c r="U29" s="4">
        <f t="shared" si="19"/>
        <v>0</v>
      </c>
      <c r="V29" s="4">
        <f t="shared" si="20"/>
        <v>180.47</v>
      </c>
      <c r="W29" s="4">
        <f t="shared" si="21"/>
        <v>180.39</v>
      </c>
      <c r="X29" s="4">
        <f>(0.03*(VLOOKUP(YEAR(A29),Resumen!$O$7:$P$12,2,0))*Resumen!$B$8)</f>
        <v>24</v>
      </c>
      <c r="Y29" s="4">
        <f>(((S29*0.03)+(VLOOKUP(YEAR(A29),Resumen!$O$7:$P$12,2,0)*0.05))*DATEDIF(Resumen!$B$6,A29,"y"))</f>
        <v>653.6</v>
      </c>
      <c r="Z29" s="3">
        <v>50</v>
      </c>
      <c r="AA29" s="1">
        <f>IF(DATEDIF(Resumen!$B$6,A29,"M")/12=5,S29/2,IF(DATEDIF(Resumen!$B$6,A29,"M")/12=10,S29,IF(DATEDIF(Resumen!$B$6,A29,"M")/12=15,S29*1.5,IF(DATEDIF(Resumen!$B$6,A29,"M")/12=20,S29*2,IF(DATEDIF(Resumen!$B$6,A29,"M")/12=25,S29*2.5,IF(DATEDIF(Resumen!$B$6,A29,"M")/12=30,S29*3,0))))))</f>
        <v>0</v>
      </c>
      <c r="AB29" s="19">
        <f>(IF(Resumen!$B$20="Sí",IF(Resumen!$C$20&lt;=A29,IF(DATEDIF(Resumen!$C$20,A29,"Y")&lt;8,VLOOKUP(YEAR(A29),Resumen!$O$7:$P$12,2,0),0),0),0))+(IF(Resumen!$B$21="Sí",IF(Resumen!$C$21&lt;=A29,IF(DATEDIF(Resumen!$C$21,A29,"Y")&lt;8,VLOOKUP(YEAR(A29),Resumen!$O$7:$P$12,2,0),0),0),0))</f>
        <v>0</v>
      </c>
      <c r="AC29" s="1">
        <f>IF(MONTH(A29)=12,VLOOKUP(YEAR(A29),Resumen!$O$7:$P$12,2,0),0)</f>
        <v>0</v>
      </c>
      <c r="AD29" s="1">
        <f t="shared" si="0"/>
        <v>0</v>
      </c>
      <c r="AE29" s="19">
        <f>(IF(Resumen!$B$25="Sí",IF(DATE(YEAR(Resumen!$C$25),MONTH(Resumen!$C$25),1)=A29,1000,0)+(IF(Resumen!$B$26="Sí",IF(DATE(YEAR(Resumen!$C$26),MONTH(Resumen!$C$26),1)=A29,1000,0),0)),0))</f>
        <v>0</v>
      </c>
      <c r="AF29" s="1">
        <v>0</v>
      </c>
      <c r="AG29" s="1">
        <v>0</v>
      </c>
      <c r="AH29" s="19">
        <v>130</v>
      </c>
      <c r="AI29" s="1">
        <f>IF(MONTH(A29)=1,(VLOOKUP(YEAR(A29),Resumen!$O$7:$P$12,2,0))*3,0)</f>
        <v>0</v>
      </c>
      <c r="AJ29" s="19">
        <f>IF(MONTH(A29)=12,(15+DATEDIF(Resumen!$B$6,A29,"y"))*50,0)</f>
        <v>0</v>
      </c>
      <c r="AK29" s="5">
        <f>IF(Resumen!$B$13="No",IF(Resumen!$B$12="No",20,100),0)</f>
        <v>20</v>
      </c>
      <c r="AL29" s="1">
        <f>IF(Resumen!$B$14="Código",(S29+T29+U29+Y29)*9.45%*-1,(S29+T29+U29+Y29)*11.45%*-1)</f>
        <v>-247.96119999999996</v>
      </c>
      <c r="AN29" s="3">
        <f t="shared" si="1"/>
        <v>300</v>
      </c>
      <c r="AO29" s="4">
        <f t="shared" si="2"/>
        <v>0</v>
      </c>
      <c r="AP29" s="4">
        <f t="shared" si="3"/>
        <v>0</v>
      </c>
      <c r="AQ29" s="4">
        <f t="shared" si="4"/>
        <v>76.69</v>
      </c>
      <c r="AR29" s="4">
        <f t="shared" si="5"/>
        <v>76.649999999999991</v>
      </c>
      <c r="AS29" s="4">
        <f t="shared" si="6"/>
        <v>620.27</v>
      </c>
      <c r="AT29" s="4">
        <f t="shared" si="7"/>
        <v>24</v>
      </c>
      <c r="AU29" s="4">
        <f t="shared" si="8"/>
        <v>50</v>
      </c>
      <c r="AV29" s="6">
        <f t="shared" si="9"/>
        <v>0</v>
      </c>
      <c r="AW29" s="6">
        <f t="shared" si="10"/>
        <v>0</v>
      </c>
      <c r="AX29" s="6">
        <f t="shared" si="11"/>
        <v>0</v>
      </c>
      <c r="AY29" s="6">
        <f t="shared" si="22"/>
        <v>130</v>
      </c>
      <c r="AZ29" s="6">
        <f t="shared" si="12"/>
        <v>20</v>
      </c>
      <c r="BA29" s="6">
        <f t="shared" si="23"/>
        <v>0</v>
      </c>
      <c r="BB29" s="6">
        <f t="shared" si="24"/>
        <v>0</v>
      </c>
      <c r="BC29" s="6">
        <f t="shared" si="25"/>
        <v>0</v>
      </c>
      <c r="BD29" s="6">
        <f t="shared" si="13"/>
        <v>-105.370915</v>
      </c>
      <c r="BF29" s="3">
        <f t="shared" si="26"/>
        <v>1192.2390849999999</v>
      </c>
      <c r="BG29" s="3">
        <f ca="1">BF29*Resumen!$P$14*((TODAY()-(A29+30))/360)</f>
        <v>319.58366086453333</v>
      </c>
    </row>
    <row r="30" spans="1:59" x14ac:dyDescent="0.25">
      <c r="A30" s="7">
        <v>43922</v>
      </c>
      <c r="B30" s="9">
        <f>IF(Resumen!$B$14="Código",IF(A30&lt;DATE(2021,7,1),Resumen!$B$7,Resumen!$B$7+300),IF(A30&lt;DATE(2022,3,1),Resumen!$B$7,Resumen!$B$7+300))</f>
        <v>1212</v>
      </c>
      <c r="C30" s="77">
        <v>0</v>
      </c>
      <c r="D30" s="77">
        <v>0</v>
      </c>
      <c r="E30" s="4">
        <f t="shared" si="14"/>
        <v>0</v>
      </c>
      <c r="F30" s="4">
        <f t="shared" si="15"/>
        <v>0</v>
      </c>
      <c r="G30" s="4">
        <f>IF(Resumen!$B$14="Código",IF(A30&lt;DATE(2021,7,1),(Resumen!$B$7*0.25%)*DATEDIF("1/1/2009",A30,"y"),IF(Resumen!$B$9="Sí",(((B30*0.03)+(VLOOKUP(YEAR(A30),Resumen!$O$7:$P$12,2,0)*0.05))*DATEDIF(MAX("1/5/2008",Resumen!$B$6),A30,"y")),(((B30*0.03)+(VLOOKUP(YEAR(A30),Resumen!$O$7:$P$12,2,0)*0.05))*DATEDIF(Resumen!$B$6,A30,"y")))),IF(A30&lt;DATE(2022,3,1),(Resumen!$B$7*0.25%)*DATEDIF("1/1/2009",A30,"y"),IF(Resumen!$B$9="Sí",(((B30*0.03)+(VLOOKUP(YEAR(A30),Resumen!$O$7:$P$12,2,0)*0.05))*DATEDIF(MAX("1/5/2008",Resumen!$B$6),A30,"y")),(((B30*0.03)+(VLOOKUP(YEAR(A30),Resumen!$O$7:$P$12,2,0)*0.05))*DATEDIF(Resumen!$B$6,A30,"y")))))</f>
        <v>33.330000000000005</v>
      </c>
      <c r="H30" s="4">
        <f t="shared" si="16"/>
        <v>103.78</v>
      </c>
      <c r="I30" s="4">
        <f t="shared" si="17"/>
        <v>103.74</v>
      </c>
      <c r="J30" s="1">
        <f>IF(Resumen!$B$14="Código",IF(A30&lt;DATE(2021,7,1),0,(0.03*(VLOOKUP(YEAR(A30),Resumen!$O$7:$P$12,2,0))*Resumen!$B$8)),IF(A30&lt;DATE(2022,3,1),0,(0.03*(VLOOKUP(YEAR(A30),Resumen!$O$7:$P$12,2,0))*Resumen!$B$8)))</f>
        <v>0</v>
      </c>
      <c r="K30" s="1">
        <f>IF(Resumen!$B$14="Código",IF(A30&lt;DATE(2021,7,1),0,50),IF(A30&lt;DATE(2022,3,1),0,50))</f>
        <v>0</v>
      </c>
      <c r="L30" s="1">
        <v>0</v>
      </c>
      <c r="M30" s="1">
        <v>0</v>
      </c>
      <c r="N30" s="1">
        <v>0</v>
      </c>
      <c r="O30" s="1">
        <v>0</v>
      </c>
      <c r="P30" s="1">
        <v>0</v>
      </c>
      <c r="Q30" s="1">
        <f>IF(Resumen!$B$14="Código",(B30+E30+F30+G30)*9.45%*-1,(B30+E30+F30+G30)*11.45%*-1)</f>
        <v>-142.59028499999997</v>
      </c>
      <c r="R30" s="3"/>
      <c r="S30" s="9">
        <f t="shared" si="28"/>
        <v>1512</v>
      </c>
      <c r="T30" s="4">
        <f t="shared" si="18"/>
        <v>0</v>
      </c>
      <c r="U30" s="4">
        <f t="shared" si="19"/>
        <v>0</v>
      </c>
      <c r="V30" s="4">
        <f t="shared" si="20"/>
        <v>180.47</v>
      </c>
      <c r="W30" s="4">
        <f t="shared" si="21"/>
        <v>180.39</v>
      </c>
      <c r="X30" s="4">
        <f>(0.03*(VLOOKUP(YEAR(A30),Resumen!$O$7:$P$12,2,0))*Resumen!$B$8)</f>
        <v>24</v>
      </c>
      <c r="Y30" s="4">
        <f>(((S30*0.03)+(VLOOKUP(YEAR(A30),Resumen!$O$7:$P$12,2,0)*0.05))*DATEDIF(Resumen!$B$6,A30,"y"))</f>
        <v>653.6</v>
      </c>
      <c r="Z30" s="3">
        <v>50</v>
      </c>
      <c r="AA30" s="1">
        <f>IF(DATEDIF(Resumen!$B$6,A30,"M")/12=5,S30/2,IF(DATEDIF(Resumen!$B$6,A30,"M")/12=10,S30,IF(DATEDIF(Resumen!$B$6,A30,"M")/12=15,S30*1.5,IF(DATEDIF(Resumen!$B$6,A30,"M")/12=20,S30*2,IF(DATEDIF(Resumen!$B$6,A30,"M")/12=25,S30*2.5,IF(DATEDIF(Resumen!$B$6,A30,"M")/12=30,S30*3,0))))))</f>
        <v>0</v>
      </c>
      <c r="AB30" s="19">
        <f>(IF(Resumen!$B$20="Sí",IF(Resumen!$C$20&lt;=A30,IF(DATEDIF(Resumen!$C$20,A30,"Y")&lt;8,VLOOKUP(YEAR(A30),Resumen!$O$7:$P$12,2,0),0),0),0))+(IF(Resumen!$B$21="Sí",IF(Resumen!$C$21&lt;=A30,IF(DATEDIF(Resumen!$C$21,A30,"Y")&lt;8,VLOOKUP(YEAR(A30),Resumen!$O$7:$P$12,2,0),0),0),0))</f>
        <v>0</v>
      </c>
      <c r="AC30" s="1">
        <f>IF(MONTH(A30)=12,VLOOKUP(YEAR(A30),Resumen!$O$7:$P$12,2,0),0)</f>
        <v>0</v>
      </c>
      <c r="AD30" s="1">
        <f t="shared" si="0"/>
        <v>0</v>
      </c>
      <c r="AE30" s="19">
        <f>(IF(Resumen!$B$25="Sí",IF(DATE(YEAR(Resumen!$C$25),MONTH(Resumen!$C$25),1)=A30,1000,0)+(IF(Resumen!$B$26="Sí",IF(DATE(YEAR(Resumen!$C$26),MONTH(Resumen!$C$26),1)=A30,1000,0),0)),0))</f>
        <v>0</v>
      </c>
      <c r="AF30" s="1">
        <v>0</v>
      </c>
      <c r="AG30" s="1">
        <v>0</v>
      </c>
      <c r="AH30" s="19">
        <v>130</v>
      </c>
      <c r="AI30" s="1">
        <f>IF(MONTH(A30)=1,(VLOOKUP(YEAR(A30),Resumen!$O$7:$P$12,2,0))*3,0)</f>
        <v>0</v>
      </c>
      <c r="AJ30" s="19">
        <f>IF(MONTH(A30)=12,(15+DATEDIF(Resumen!$B$6,A30,"y"))*50,0)</f>
        <v>0</v>
      </c>
      <c r="AK30" s="5">
        <f>IF(Resumen!$B$13="No",IF(Resumen!$B$12="No",20,100),0)</f>
        <v>20</v>
      </c>
      <c r="AL30" s="1">
        <f>IF(Resumen!$B$14="Código",(S30+T30+U30+Y30)*9.45%*-1,(S30+T30+U30+Y30)*11.45%*-1)</f>
        <v>-247.96119999999996</v>
      </c>
      <c r="AN30" s="3">
        <f t="shared" si="1"/>
        <v>300</v>
      </c>
      <c r="AO30" s="4">
        <f t="shared" si="2"/>
        <v>0</v>
      </c>
      <c r="AP30" s="4">
        <f t="shared" si="3"/>
        <v>0</v>
      </c>
      <c r="AQ30" s="4">
        <f t="shared" si="4"/>
        <v>76.69</v>
      </c>
      <c r="AR30" s="4">
        <f t="shared" si="5"/>
        <v>76.649999999999991</v>
      </c>
      <c r="AS30" s="4">
        <f t="shared" si="6"/>
        <v>620.27</v>
      </c>
      <c r="AT30" s="4">
        <f t="shared" si="7"/>
        <v>24</v>
      </c>
      <c r="AU30" s="4">
        <f t="shared" si="8"/>
        <v>50</v>
      </c>
      <c r="AV30" s="6">
        <f t="shared" si="9"/>
        <v>0</v>
      </c>
      <c r="AW30" s="6">
        <f t="shared" si="10"/>
        <v>0</v>
      </c>
      <c r="AX30" s="6">
        <f t="shared" si="11"/>
        <v>0</v>
      </c>
      <c r="AY30" s="6">
        <f t="shared" si="22"/>
        <v>130</v>
      </c>
      <c r="AZ30" s="6">
        <f t="shared" si="12"/>
        <v>20</v>
      </c>
      <c r="BA30" s="6">
        <f t="shared" si="23"/>
        <v>0</v>
      </c>
      <c r="BB30" s="6">
        <f t="shared" si="24"/>
        <v>0</v>
      </c>
      <c r="BC30" s="6">
        <f t="shared" si="25"/>
        <v>0</v>
      </c>
      <c r="BD30" s="6">
        <f t="shared" si="13"/>
        <v>-105.370915</v>
      </c>
      <c r="BF30" s="3">
        <f t="shared" si="26"/>
        <v>1192.2390849999999</v>
      </c>
      <c r="BG30" s="3">
        <f ca="1">BF30*Resumen!$P$14*((TODAY()-(A30+30))/360)</f>
        <v>310.38487396871108</v>
      </c>
    </row>
    <row r="31" spans="1:59" x14ac:dyDescent="0.25">
      <c r="A31" s="7">
        <v>43952</v>
      </c>
      <c r="B31" s="9">
        <f>IF(Resumen!$B$14="Código",IF(A31&lt;DATE(2021,7,1),Resumen!$B$7,Resumen!$B$7+300),IF(A31&lt;DATE(2022,3,1),Resumen!$B$7,Resumen!$B$7+300))</f>
        <v>1212</v>
      </c>
      <c r="C31" s="77">
        <v>0</v>
      </c>
      <c r="D31" s="77">
        <v>0</v>
      </c>
      <c r="E31" s="4">
        <f t="shared" si="14"/>
        <v>0</v>
      </c>
      <c r="F31" s="4">
        <f t="shared" si="15"/>
        <v>0</v>
      </c>
      <c r="G31" s="4">
        <f>IF(Resumen!$B$14="Código",IF(A31&lt;DATE(2021,7,1),(Resumen!$B$7*0.25%)*DATEDIF("1/1/2009",A31,"y"),IF(Resumen!$B$9="Sí",(((B31*0.03)+(VLOOKUP(YEAR(A31),Resumen!$O$7:$P$12,2,0)*0.05))*DATEDIF(MAX("1/5/2008",Resumen!$B$6),A31,"y")),(((B31*0.03)+(VLOOKUP(YEAR(A31),Resumen!$O$7:$P$12,2,0)*0.05))*DATEDIF(Resumen!$B$6,A31,"y")))),IF(A31&lt;DATE(2022,3,1),(Resumen!$B$7*0.25%)*DATEDIF("1/1/2009",A31,"y"),IF(Resumen!$B$9="Sí",(((B31*0.03)+(VLOOKUP(YEAR(A31),Resumen!$O$7:$P$12,2,0)*0.05))*DATEDIF(MAX("1/5/2008",Resumen!$B$6),A31,"y")),(((B31*0.03)+(VLOOKUP(YEAR(A31),Resumen!$O$7:$P$12,2,0)*0.05))*DATEDIF(Resumen!$B$6,A31,"y")))))</f>
        <v>33.330000000000005</v>
      </c>
      <c r="H31" s="4">
        <f t="shared" si="16"/>
        <v>103.78</v>
      </c>
      <c r="I31" s="4">
        <f t="shared" si="17"/>
        <v>103.74</v>
      </c>
      <c r="J31" s="1">
        <f>IF(Resumen!$B$14="Código",IF(A31&lt;DATE(2021,7,1),0,(0.03*(VLOOKUP(YEAR(A31),Resumen!$O$7:$P$12,2,0))*Resumen!$B$8)),IF(A31&lt;DATE(2022,3,1),0,(0.03*(VLOOKUP(YEAR(A31),Resumen!$O$7:$P$12,2,0))*Resumen!$B$8)))</f>
        <v>0</v>
      </c>
      <c r="K31" s="1">
        <f>IF(Resumen!$B$14="Código",IF(A31&lt;DATE(2021,7,1),0,50),IF(A31&lt;DATE(2022,3,1),0,50))</f>
        <v>0</v>
      </c>
      <c r="L31" s="1">
        <v>0</v>
      </c>
      <c r="M31" s="1">
        <v>0</v>
      </c>
      <c r="N31" s="1">
        <v>0</v>
      </c>
      <c r="O31" s="1">
        <v>0</v>
      </c>
      <c r="P31" s="1">
        <v>0</v>
      </c>
      <c r="Q31" s="1">
        <f>IF(Resumen!$B$14="Código",(B31+E31+F31+G31)*9.45%*-1,(B31+E31+F31+G31)*11.45%*-1)</f>
        <v>-142.59028499999997</v>
      </c>
      <c r="R31" s="3"/>
      <c r="S31" s="9">
        <f t="shared" si="28"/>
        <v>1512</v>
      </c>
      <c r="T31" s="4">
        <f t="shared" si="18"/>
        <v>0</v>
      </c>
      <c r="U31" s="4">
        <f t="shared" si="19"/>
        <v>0</v>
      </c>
      <c r="V31" s="4">
        <f t="shared" si="20"/>
        <v>180.47</v>
      </c>
      <c r="W31" s="4">
        <f t="shared" si="21"/>
        <v>180.39</v>
      </c>
      <c r="X31" s="4">
        <f>(0.03*(VLOOKUP(YEAR(A31),Resumen!$O$7:$P$12,2,0))*Resumen!$B$8)</f>
        <v>24</v>
      </c>
      <c r="Y31" s="4">
        <f>(((S31*0.03)+(VLOOKUP(YEAR(A31),Resumen!$O$7:$P$12,2,0)*0.05))*DATEDIF(Resumen!$B$6,A31,"y"))</f>
        <v>653.6</v>
      </c>
      <c r="Z31" s="3">
        <v>50</v>
      </c>
      <c r="AA31" s="1">
        <f>IF(DATEDIF(Resumen!$B$6,A31,"M")/12=5,S31/2,IF(DATEDIF(Resumen!$B$6,A31,"M")/12=10,S31,IF(DATEDIF(Resumen!$B$6,A31,"M")/12=15,S31*1.5,IF(DATEDIF(Resumen!$B$6,A31,"M")/12=20,S31*2,IF(DATEDIF(Resumen!$B$6,A31,"M")/12=25,S31*2.5,IF(DATEDIF(Resumen!$B$6,A31,"M")/12=30,S31*3,0))))))</f>
        <v>0</v>
      </c>
      <c r="AB31" s="19">
        <f>(IF(Resumen!$B$20="Sí",IF(Resumen!$C$20&lt;=A31,IF(DATEDIF(Resumen!$C$20,A31,"Y")&lt;8,VLOOKUP(YEAR(A31),Resumen!$O$7:$P$12,2,0),0),0),0))+(IF(Resumen!$B$21="Sí",IF(Resumen!$C$21&lt;=A31,IF(DATEDIF(Resumen!$C$21,A31,"Y")&lt;8,VLOOKUP(YEAR(A31),Resumen!$O$7:$P$12,2,0),0),0),0))</f>
        <v>0</v>
      </c>
      <c r="AC31" s="1">
        <f>IF(MONTH(A31)=12,VLOOKUP(YEAR(A31),Resumen!$O$7:$P$12,2,0),0)</f>
        <v>0</v>
      </c>
      <c r="AD31" s="1">
        <f t="shared" si="0"/>
        <v>0</v>
      </c>
      <c r="AE31" s="19">
        <f>(IF(Resumen!$B$25="Sí",IF(DATE(YEAR(Resumen!$C$25),MONTH(Resumen!$C$25),1)=A31,1000,0)+(IF(Resumen!$B$26="Sí",IF(DATE(YEAR(Resumen!$C$26),MONTH(Resumen!$C$26),1)=A31,1000,0),0)),0))</f>
        <v>0</v>
      </c>
      <c r="AF31" s="1">
        <v>0</v>
      </c>
      <c r="AG31" s="80">
        <f>IF(Resumen!$B$10="Campo",2000,IF(Resumen!$B$11="Femenino",1000,800))</f>
        <v>800</v>
      </c>
      <c r="AH31" s="19">
        <v>130</v>
      </c>
      <c r="AI31" s="1">
        <f>IF(MONTH(A31)=1,(VLOOKUP(YEAR(A31),Resumen!$O$7:$P$12,2,0))*3,0)</f>
        <v>0</v>
      </c>
      <c r="AJ31" s="19">
        <f>IF(MONTH(A31)=12,(15+DATEDIF(Resumen!$B$6,A31,"y"))*50,0)</f>
        <v>0</v>
      </c>
      <c r="AK31" s="5">
        <f>IF(Resumen!$B$13="No",IF(Resumen!$B$12="No",20,100),0)</f>
        <v>20</v>
      </c>
      <c r="AL31" s="1">
        <f>IF(Resumen!$B$14="Código",(S31+T31+U31+Y31)*9.45%*-1,(S31+T31+U31+Y31)*11.45%*-1)</f>
        <v>-247.96119999999996</v>
      </c>
      <c r="AN31" s="3">
        <f t="shared" si="1"/>
        <v>300</v>
      </c>
      <c r="AO31" s="4">
        <f t="shared" si="2"/>
        <v>0</v>
      </c>
      <c r="AP31" s="4">
        <f t="shared" si="3"/>
        <v>0</v>
      </c>
      <c r="AQ31" s="4">
        <f t="shared" si="4"/>
        <v>76.69</v>
      </c>
      <c r="AR31" s="4">
        <f t="shared" si="5"/>
        <v>76.649999999999991</v>
      </c>
      <c r="AS31" s="4">
        <f t="shared" si="6"/>
        <v>620.27</v>
      </c>
      <c r="AT31" s="4">
        <f t="shared" si="7"/>
        <v>24</v>
      </c>
      <c r="AU31" s="4">
        <f t="shared" si="8"/>
        <v>50</v>
      </c>
      <c r="AV31" s="6">
        <f t="shared" si="9"/>
        <v>0</v>
      </c>
      <c r="AW31" s="6">
        <f t="shared" si="10"/>
        <v>0</v>
      </c>
      <c r="AX31" s="6">
        <f t="shared" si="11"/>
        <v>0</v>
      </c>
      <c r="AY31" s="6">
        <f t="shared" si="22"/>
        <v>130</v>
      </c>
      <c r="AZ31" s="6">
        <f t="shared" si="12"/>
        <v>20</v>
      </c>
      <c r="BA31" s="6">
        <f t="shared" si="23"/>
        <v>0</v>
      </c>
      <c r="BB31" s="6">
        <f t="shared" si="24"/>
        <v>0</v>
      </c>
      <c r="BC31" s="6">
        <f t="shared" si="25"/>
        <v>0</v>
      </c>
      <c r="BD31" s="6">
        <f t="shared" si="13"/>
        <v>-105.370915</v>
      </c>
      <c r="BF31" s="3">
        <f t="shared" si="26"/>
        <v>1192.2390849999999</v>
      </c>
      <c r="BG31" s="3">
        <f ca="1">BF31*Resumen!$P$14*((TODAY()-(A31+30))/360)</f>
        <v>301.48282213404445</v>
      </c>
    </row>
    <row r="32" spans="1:59" x14ac:dyDescent="0.25">
      <c r="A32" s="7">
        <v>43983</v>
      </c>
      <c r="B32" s="9">
        <f>IF(Resumen!$B$14="Código",IF(A32&lt;DATE(2021,7,1),Resumen!$B$7,Resumen!$B$7+300),IF(A32&lt;DATE(2022,3,1),Resumen!$B$7,Resumen!$B$7+300))</f>
        <v>1212</v>
      </c>
      <c r="C32" s="77">
        <v>0</v>
      </c>
      <c r="D32" s="77">
        <v>0</v>
      </c>
      <c r="E32" s="4">
        <f t="shared" si="14"/>
        <v>0</v>
      </c>
      <c r="F32" s="4">
        <f t="shared" si="15"/>
        <v>0</v>
      </c>
      <c r="G32" s="4">
        <f>IF(Resumen!$B$14="Código",IF(A32&lt;DATE(2021,7,1),(Resumen!$B$7*0.25%)*DATEDIF("1/1/2009",A32,"y"),IF(Resumen!$B$9="Sí",(((B32*0.03)+(VLOOKUP(YEAR(A32),Resumen!$O$7:$P$12,2,0)*0.05))*DATEDIF(MAX("1/5/2008",Resumen!$B$6),A32,"y")),(((B32*0.03)+(VLOOKUP(YEAR(A32),Resumen!$O$7:$P$12,2,0)*0.05))*DATEDIF(Resumen!$B$6,A32,"y")))),IF(A32&lt;DATE(2022,3,1),(Resumen!$B$7*0.25%)*DATEDIF("1/1/2009",A32,"y"),IF(Resumen!$B$9="Sí",(((B32*0.03)+(VLOOKUP(YEAR(A32),Resumen!$O$7:$P$12,2,0)*0.05))*DATEDIF(MAX("1/5/2008",Resumen!$B$6),A32,"y")),(((B32*0.03)+(VLOOKUP(YEAR(A32),Resumen!$O$7:$P$12,2,0)*0.05))*DATEDIF(Resumen!$B$6,A32,"y")))))</f>
        <v>33.330000000000005</v>
      </c>
      <c r="H32" s="4">
        <f t="shared" si="16"/>
        <v>103.78</v>
      </c>
      <c r="I32" s="4">
        <f t="shared" si="17"/>
        <v>103.74</v>
      </c>
      <c r="J32" s="1">
        <f>IF(Resumen!$B$14="Código",IF(A32&lt;DATE(2021,7,1),0,(0.03*(VLOOKUP(YEAR(A32),Resumen!$O$7:$P$12,2,0))*Resumen!$B$8)),IF(A32&lt;DATE(2022,3,1),0,(0.03*(VLOOKUP(YEAR(A32),Resumen!$O$7:$P$12,2,0))*Resumen!$B$8)))</f>
        <v>0</v>
      </c>
      <c r="K32" s="1">
        <f>IF(Resumen!$B$14="Código",IF(A32&lt;DATE(2021,7,1),0,50),IF(A32&lt;DATE(2022,3,1),0,50))</f>
        <v>0</v>
      </c>
      <c r="L32" s="1">
        <v>0</v>
      </c>
      <c r="M32" s="1">
        <v>0</v>
      </c>
      <c r="N32" s="1">
        <v>0</v>
      </c>
      <c r="O32" s="1">
        <v>0</v>
      </c>
      <c r="P32" s="1">
        <v>0</v>
      </c>
      <c r="Q32" s="1">
        <f>IF(Resumen!$B$14="Código",(B32+E32+F32+G32)*9.45%*-1,(B32+E32+F32+G32)*11.45%*-1)</f>
        <v>-142.59028499999997</v>
      </c>
      <c r="R32" s="3"/>
      <c r="S32" s="9">
        <f t="shared" si="28"/>
        <v>1512</v>
      </c>
      <c r="T32" s="4">
        <f t="shared" si="18"/>
        <v>0</v>
      </c>
      <c r="U32" s="4">
        <f t="shared" si="19"/>
        <v>0</v>
      </c>
      <c r="V32" s="4">
        <f t="shared" si="20"/>
        <v>180.47</v>
      </c>
      <c r="W32" s="4">
        <f t="shared" si="21"/>
        <v>180.39</v>
      </c>
      <c r="X32" s="4">
        <f>(0.03*(VLOOKUP(YEAR(A32),Resumen!$O$7:$P$12,2,0))*Resumen!$B$8)</f>
        <v>24</v>
      </c>
      <c r="Y32" s="4">
        <f>(((S32*0.03)+(VLOOKUP(YEAR(A32),Resumen!$O$7:$P$12,2,0)*0.05))*DATEDIF(Resumen!$B$6,A32,"y"))</f>
        <v>653.6</v>
      </c>
      <c r="Z32" s="3">
        <v>50</v>
      </c>
      <c r="AA32" s="1">
        <f>IF(DATEDIF(Resumen!$B$6,A32,"M")/12=5,S32/2,IF(DATEDIF(Resumen!$B$6,A32,"M")/12=10,S32,IF(DATEDIF(Resumen!$B$6,A32,"M")/12=15,S32*1.5,IF(DATEDIF(Resumen!$B$6,A32,"M")/12=20,S32*2,IF(DATEDIF(Resumen!$B$6,A32,"M")/12=25,S32*2.5,IF(DATEDIF(Resumen!$B$6,A32,"M")/12=30,S32*3,0))))))</f>
        <v>0</v>
      </c>
      <c r="AB32" s="19">
        <f>(IF(Resumen!$B$20="Sí",IF(Resumen!$C$20&lt;=A32,IF(DATEDIF(Resumen!$C$20,A32,"Y")&lt;8,VLOOKUP(YEAR(A32),Resumen!$O$7:$P$12,2,0),0),0),0))+(IF(Resumen!$B$21="Sí",IF(Resumen!$C$21&lt;=A32,IF(DATEDIF(Resumen!$C$21,A32,"Y")&lt;8,VLOOKUP(YEAR(A32),Resumen!$O$7:$P$12,2,0),0),0),0))</f>
        <v>0</v>
      </c>
      <c r="AC32" s="1">
        <f>IF(MONTH(A32)=12,VLOOKUP(YEAR(A32),Resumen!$O$7:$P$12,2,0),0)</f>
        <v>0</v>
      </c>
      <c r="AD32" s="1">
        <f t="shared" si="0"/>
        <v>0</v>
      </c>
      <c r="AE32" s="19">
        <f>(IF(Resumen!$B$25="Sí",IF(DATE(YEAR(Resumen!$C$25),MONTH(Resumen!$C$25),1)=A32,1000,0)+(IF(Resumen!$B$26="Sí",IF(DATE(YEAR(Resumen!$C$26),MONTH(Resumen!$C$26),1)=A32,1000,0),0)),0))</f>
        <v>0</v>
      </c>
      <c r="AF32" s="1">
        <v>0</v>
      </c>
      <c r="AG32" s="1">
        <v>0</v>
      </c>
      <c r="AH32" s="19">
        <v>130</v>
      </c>
      <c r="AI32" s="1">
        <f>IF(MONTH(A32)=1,(VLOOKUP(YEAR(A32),Resumen!$O$7:$P$12,2,0))*3,0)</f>
        <v>0</v>
      </c>
      <c r="AJ32" s="19">
        <f>IF(MONTH(A32)=12,(15+DATEDIF(Resumen!$B$6,A32,"y"))*50,0)</f>
        <v>0</v>
      </c>
      <c r="AK32" s="5">
        <f>IF(Resumen!$B$13="No",IF(Resumen!$B$12="No",20,100),0)</f>
        <v>20</v>
      </c>
      <c r="AL32" s="1">
        <f>IF(Resumen!$B$14="Código",(S32+T32+U32+Y32)*9.45%*-1,(S32+T32+U32+Y32)*11.45%*-1)</f>
        <v>-247.96119999999996</v>
      </c>
      <c r="AN32" s="3">
        <f t="shared" si="1"/>
        <v>300</v>
      </c>
      <c r="AO32" s="4">
        <f t="shared" si="2"/>
        <v>0</v>
      </c>
      <c r="AP32" s="4">
        <f t="shared" si="3"/>
        <v>0</v>
      </c>
      <c r="AQ32" s="4">
        <f t="shared" si="4"/>
        <v>76.69</v>
      </c>
      <c r="AR32" s="4">
        <f t="shared" si="5"/>
        <v>76.649999999999991</v>
      </c>
      <c r="AS32" s="4">
        <f t="shared" si="6"/>
        <v>620.27</v>
      </c>
      <c r="AT32" s="4">
        <f t="shared" si="7"/>
        <v>24</v>
      </c>
      <c r="AU32" s="4">
        <f t="shared" si="8"/>
        <v>50</v>
      </c>
      <c r="AV32" s="6">
        <f t="shared" si="9"/>
        <v>0</v>
      </c>
      <c r="AW32" s="6">
        <f t="shared" si="10"/>
        <v>0</v>
      </c>
      <c r="AX32" s="6">
        <f t="shared" si="11"/>
        <v>0</v>
      </c>
      <c r="AY32" s="6">
        <f t="shared" si="22"/>
        <v>130</v>
      </c>
      <c r="AZ32" s="6">
        <f t="shared" si="12"/>
        <v>20</v>
      </c>
      <c r="BA32" s="6">
        <f t="shared" si="23"/>
        <v>0</v>
      </c>
      <c r="BB32" s="6">
        <f t="shared" si="24"/>
        <v>0</v>
      </c>
      <c r="BC32" s="6">
        <f t="shared" si="25"/>
        <v>0</v>
      </c>
      <c r="BD32" s="6">
        <f t="shared" si="13"/>
        <v>-105.370915</v>
      </c>
      <c r="BF32" s="3">
        <f t="shared" si="26"/>
        <v>1192.2390849999999</v>
      </c>
      <c r="BG32" s="3">
        <f ca="1">BF32*Resumen!$P$14*((TODAY()-(A32+30))/360)</f>
        <v>292.2840352382222</v>
      </c>
    </row>
    <row r="33" spans="1:59" x14ac:dyDescent="0.25">
      <c r="A33" s="7">
        <v>44013</v>
      </c>
      <c r="B33" s="9">
        <f>IF(Resumen!$B$14="Código",IF(A33&lt;DATE(2021,7,1),Resumen!$B$7,Resumen!$B$7+300),IF(A33&lt;DATE(2022,3,1),Resumen!$B$7,Resumen!$B$7+300))</f>
        <v>1212</v>
      </c>
      <c r="C33" s="77">
        <v>0</v>
      </c>
      <c r="D33" s="77">
        <v>0</v>
      </c>
      <c r="E33" s="4">
        <f t="shared" si="14"/>
        <v>0</v>
      </c>
      <c r="F33" s="4">
        <f t="shared" si="15"/>
        <v>0</v>
      </c>
      <c r="G33" s="4">
        <f>IF(Resumen!$B$14="Código",IF(A33&lt;DATE(2021,7,1),(Resumen!$B$7*0.25%)*DATEDIF("1/1/2009",A33,"y"),IF(Resumen!$B$9="Sí",(((B33*0.03)+(VLOOKUP(YEAR(A33),Resumen!$O$7:$P$12,2,0)*0.05))*DATEDIF(MAX("1/5/2008",Resumen!$B$6),A33,"y")),(((B33*0.03)+(VLOOKUP(YEAR(A33),Resumen!$O$7:$P$12,2,0)*0.05))*DATEDIF(Resumen!$B$6,A33,"y")))),IF(A33&lt;DATE(2022,3,1),(Resumen!$B$7*0.25%)*DATEDIF("1/1/2009",A33,"y"),IF(Resumen!$B$9="Sí",(((B33*0.03)+(VLOOKUP(YEAR(A33),Resumen!$O$7:$P$12,2,0)*0.05))*DATEDIF(MAX("1/5/2008",Resumen!$B$6),A33,"y")),(((B33*0.03)+(VLOOKUP(YEAR(A33),Resumen!$O$7:$P$12,2,0)*0.05))*DATEDIF(Resumen!$B$6,A33,"y")))))</f>
        <v>33.330000000000005</v>
      </c>
      <c r="H33" s="4">
        <f t="shared" si="16"/>
        <v>103.78</v>
      </c>
      <c r="I33" s="4">
        <f t="shared" si="17"/>
        <v>103.74</v>
      </c>
      <c r="J33" s="1">
        <f>IF(Resumen!$B$14="Código",IF(A33&lt;DATE(2021,7,1),0,(0.03*(VLOOKUP(YEAR(A33),Resumen!$O$7:$P$12,2,0))*Resumen!$B$8)),IF(A33&lt;DATE(2022,3,1),0,(0.03*(VLOOKUP(YEAR(A33),Resumen!$O$7:$P$12,2,0))*Resumen!$B$8)))</f>
        <v>0</v>
      </c>
      <c r="K33" s="1">
        <f>IF(Resumen!$B$14="Código",IF(A33&lt;DATE(2021,7,1),0,50),IF(A33&lt;DATE(2022,3,1),0,50))</f>
        <v>0</v>
      </c>
      <c r="L33" s="1">
        <v>0</v>
      </c>
      <c r="M33" s="1">
        <v>0</v>
      </c>
      <c r="N33" s="1">
        <v>0</v>
      </c>
      <c r="O33" s="1">
        <v>0</v>
      </c>
      <c r="P33" s="1">
        <v>0</v>
      </c>
      <c r="Q33" s="1">
        <f>IF(Resumen!$B$14="Código",(B33+E33+F33+G33)*9.45%*-1,(B33+E33+F33+G33)*11.45%*-1)</f>
        <v>-142.59028499999997</v>
      </c>
      <c r="R33" s="3"/>
      <c r="S33" s="9">
        <f t="shared" si="28"/>
        <v>1512</v>
      </c>
      <c r="T33" s="4">
        <f t="shared" si="18"/>
        <v>0</v>
      </c>
      <c r="U33" s="4">
        <f t="shared" si="19"/>
        <v>0</v>
      </c>
      <c r="V33" s="4">
        <f t="shared" si="20"/>
        <v>180.47</v>
      </c>
      <c r="W33" s="4">
        <f t="shared" si="21"/>
        <v>180.39</v>
      </c>
      <c r="X33" s="4">
        <f>(0.03*(VLOOKUP(YEAR(A33),Resumen!$O$7:$P$12,2,0))*Resumen!$B$8)</f>
        <v>24</v>
      </c>
      <c r="Y33" s="4">
        <f>(((S33*0.03)+(VLOOKUP(YEAR(A33),Resumen!$O$7:$P$12,2,0)*0.05))*DATEDIF(Resumen!$B$6,A33,"y"))</f>
        <v>653.6</v>
      </c>
      <c r="Z33" s="3">
        <v>50</v>
      </c>
      <c r="AA33" s="1">
        <f>IF(DATEDIF(Resumen!$B$6,A33,"M")/12=5,S33/2,IF(DATEDIF(Resumen!$B$6,A33,"M")/12=10,S33,IF(DATEDIF(Resumen!$B$6,A33,"M")/12=15,S33*1.5,IF(DATEDIF(Resumen!$B$6,A33,"M")/12=20,S33*2,IF(DATEDIF(Resumen!$B$6,A33,"M")/12=25,S33*2.5,IF(DATEDIF(Resumen!$B$6,A33,"M")/12=30,S33*3,0))))))</f>
        <v>0</v>
      </c>
      <c r="AB33" s="19">
        <f>(IF(Resumen!$B$20="Sí",IF(Resumen!$C$20&lt;=A33,IF(DATEDIF(Resumen!$C$20,A33,"Y")&lt;8,VLOOKUP(YEAR(A33),Resumen!$O$7:$P$12,2,0),0),0),0))+(IF(Resumen!$B$21="Sí",IF(Resumen!$C$21&lt;=A33,IF(DATEDIF(Resumen!$C$21,A33,"Y")&lt;8,VLOOKUP(YEAR(A33),Resumen!$O$7:$P$12,2,0),0),0),0))</f>
        <v>0</v>
      </c>
      <c r="AC33" s="1">
        <f>IF(MONTH(A33)=12,VLOOKUP(YEAR(A33),Resumen!$O$7:$P$12,2,0),0)</f>
        <v>0</v>
      </c>
      <c r="AD33" s="1">
        <f t="shared" si="0"/>
        <v>0</v>
      </c>
      <c r="AE33" s="19">
        <f>(IF(Resumen!$B$25="Sí",IF(DATE(YEAR(Resumen!$C$25),MONTH(Resumen!$C$25),1)=A33,1000,0)+(IF(Resumen!$B$26="Sí",IF(DATE(YEAR(Resumen!$C$26),MONTH(Resumen!$C$26),1)=A33,1000,0),0)),0))</f>
        <v>0</v>
      </c>
      <c r="AF33" s="1">
        <v>0</v>
      </c>
      <c r="AG33" s="1">
        <v>0</v>
      </c>
      <c r="AH33" s="19">
        <v>130</v>
      </c>
      <c r="AI33" s="1">
        <f>IF(MONTH(A33)=1,(VLOOKUP(YEAR(A33),Resumen!$O$7:$P$12,2,0))*3,0)</f>
        <v>0</v>
      </c>
      <c r="AJ33" s="19">
        <f>IF(MONTH(A33)=12,(15+DATEDIF(Resumen!$B$6,A33,"y"))*50,0)</f>
        <v>0</v>
      </c>
      <c r="AK33" s="5">
        <f>IF(Resumen!$B$13="No",IF(Resumen!$B$12="No",20,100),0)</f>
        <v>20</v>
      </c>
      <c r="AL33" s="1">
        <f>IF(Resumen!$B$14="Código",(S33+T33+U33+Y33)*9.45%*-1,(S33+T33+U33+Y33)*11.45%*-1)</f>
        <v>-247.96119999999996</v>
      </c>
      <c r="AN33" s="3">
        <f t="shared" si="1"/>
        <v>300</v>
      </c>
      <c r="AO33" s="4">
        <f t="shared" si="2"/>
        <v>0</v>
      </c>
      <c r="AP33" s="4">
        <f t="shared" si="3"/>
        <v>0</v>
      </c>
      <c r="AQ33" s="4">
        <f t="shared" si="4"/>
        <v>76.69</v>
      </c>
      <c r="AR33" s="4">
        <f t="shared" si="5"/>
        <v>76.649999999999991</v>
      </c>
      <c r="AS33" s="4">
        <f t="shared" si="6"/>
        <v>620.27</v>
      </c>
      <c r="AT33" s="4">
        <f t="shared" si="7"/>
        <v>24</v>
      </c>
      <c r="AU33" s="4">
        <f t="shared" si="8"/>
        <v>50</v>
      </c>
      <c r="AV33" s="6">
        <f t="shared" si="9"/>
        <v>0</v>
      </c>
      <c r="AW33" s="6">
        <f t="shared" si="10"/>
        <v>0</v>
      </c>
      <c r="AX33" s="6">
        <f t="shared" si="11"/>
        <v>0</v>
      </c>
      <c r="AY33" s="6">
        <f t="shared" si="22"/>
        <v>130</v>
      </c>
      <c r="AZ33" s="6">
        <f t="shared" si="12"/>
        <v>20</v>
      </c>
      <c r="BA33" s="6">
        <f t="shared" si="23"/>
        <v>0</v>
      </c>
      <c r="BB33" s="6">
        <f t="shared" si="24"/>
        <v>0</v>
      </c>
      <c r="BC33" s="6">
        <f t="shared" si="25"/>
        <v>0</v>
      </c>
      <c r="BD33" s="6">
        <f t="shared" si="13"/>
        <v>-105.370915</v>
      </c>
      <c r="BF33" s="3">
        <f t="shared" si="26"/>
        <v>1192.2390849999999</v>
      </c>
      <c r="BG33" s="3">
        <f ca="1">BF33*Resumen!$P$14*((TODAY()-(A33+30))/360)</f>
        <v>283.38198340355552</v>
      </c>
    </row>
    <row r="34" spans="1:59" x14ac:dyDescent="0.25">
      <c r="A34" s="7">
        <v>44044</v>
      </c>
      <c r="B34" s="9">
        <f>IF(Resumen!$B$14="Código",IF(A34&lt;DATE(2021,7,1),Resumen!$B$7,Resumen!$B$7+300),IF(A34&lt;DATE(2022,3,1),Resumen!$B$7,Resumen!$B$7+300))</f>
        <v>1212</v>
      </c>
      <c r="C34" s="77">
        <v>0</v>
      </c>
      <c r="D34" s="77">
        <v>16</v>
      </c>
      <c r="E34" s="4">
        <f t="shared" si="14"/>
        <v>0</v>
      </c>
      <c r="F34" s="4">
        <f t="shared" si="15"/>
        <v>161.6</v>
      </c>
      <c r="G34" s="4">
        <f>IF(Resumen!$B$14="Código",IF(A34&lt;DATE(2021,7,1),(Resumen!$B$7*0.25%)*DATEDIF("1/1/2009",A34,"y"),IF(Resumen!$B$9="Sí",(((B34*0.03)+(VLOOKUP(YEAR(A34),Resumen!$O$7:$P$12,2,0)*0.05))*DATEDIF(MAX("1/5/2008",Resumen!$B$6),A34,"y")),(((B34*0.03)+(VLOOKUP(YEAR(A34),Resumen!$O$7:$P$12,2,0)*0.05))*DATEDIF(Resumen!$B$6,A34,"y")))),IF(A34&lt;DATE(2022,3,1),(Resumen!$B$7*0.25%)*DATEDIF("1/1/2009",A34,"y"),IF(Resumen!$B$9="Sí",(((B34*0.03)+(VLOOKUP(YEAR(A34),Resumen!$O$7:$P$12,2,0)*0.05))*DATEDIF(MAX("1/5/2008",Resumen!$B$6),A34,"y")),(((B34*0.03)+(VLOOKUP(YEAR(A34),Resumen!$O$7:$P$12,2,0)*0.05))*DATEDIF(Resumen!$B$6,A34,"y")))))</f>
        <v>33.330000000000005</v>
      </c>
      <c r="H34" s="4">
        <f t="shared" si="16"/>
        <v>117.24</v>
      </c>
      <c r="I34" s="4">
        <f t="shared" si="17"/>
        <v>117.2</v>
      </c>
      <c r="J34" s="1">
        <f>IF(Resumen!$B$14="Código",IF(A34&lt;DATE(2021,7,1),0,(0.03*(VLOOKUP(YEAR(A34),Resumen!$O$7:$P$12,2,0))*Resumen!$B$8)),IF(A34&lt;DATE(2022,3,1),0,(0.03*(VLOOKUP(YEAR(A34),Resumen!$O$7:$P$12,2,0))*Resumen!$B$8)))</f>
        <v>0</v>
      </c>
      <c r="K34" s="1">
        <f>IF(Resumen!$B$14="Código",IF(A34&lt;DATE(2021,7,1),0,50),IF(A34&lt;DATE(2022,3,1),0,50))</f>
        <v>0</v>
      </c>
      <c r="L34" s="1">
        <v>0</v>
      </c>
      <c r="M34" s="1">
        <v>0</v>
      </c>
      <c r="N34" s="1">
        <v>0</v>
      </c>
      <c r="O34" s="1">
        <v>0</v>
      </c>
      <c r="P34" s="1">
        <v>0</v>
      </c>
      <c r="Q34" s="1">
        <f>IF(Resumen!$B$14="Código",(B34+E34+F34+G34)*9.45%*-1,(B34+E34+F34+G34)*11.45%*-1)</f>
        <v>-161.09348499999996</v>
      </c>
      <c r="R34" s="3"/>
      <c r="S34" s="9">
        <f t="shared" si="28"/>
        <v>1512</v>
      </c>
      <c r="T34" s="4">
        <f t="shared" si="18"/>
        <v>0</v>
      </c>
      <c r="U34" s="4">
        <f t="shared" si="19"/>
        <v>201.6</v>
      </c>
      <c r="V34" s="4">
        <f t="shared" si="20"/>
        <v>197.27</v>
      </c>
      <c r="W34" s="4">
        <f t="shared" si="21"/>
        <v>197.19</v>
      </c>
      <c r="X34" s="4">
        <f>(0.03*(VLOOKUP(YEAR(A34),Resumen!$O$7:$P$12,2,0))*Resumen!$B$8)</f>
        <v>24</v>
      </c>
      <c r="Y34" s="4">
        <f>(((S34*0.03)+(VLOOKUP(YEAR(A34),Resumen!$O$7:$P$12,2,0)*0.05))*DATEDIF(Resumen!$B$6,A34,"y"))</f>
        <v>653.6</v>
      </c>
      <c r="Z34" s="3">
        <v>50</v>
      </c>
      <c r="AA34" s="1">
        <f>IF(DATEDIF(Resumen!$B$6,A34,"M")/12=5,S34/2,IF(DATEDIF(Resumen!$B$6,A34,"M")/12=10,S34,IF(DATEDIF(Resumen!$B$6,A34,"M")/12=15,S34*1.5,IF(DATEDIF(Resumen!$B$6,A34,"M")/12=20,S34*2,IF(DATEDIF(Resumen!$B$6,A34,"M")/12=25,S34*2.5,IF(DATEDIF(Resumen!$B$6,A34,"M")/12=30,S34*3,0))))))</f>
        <v>0</v>
      </c>
      <c r="AB34" s="19">
        <f>(IF(Resumen!$B$20="Sí",IF(Resumen!$C$20&lt;=A34,IF(DATEDIF(Resumen!$C$20,A34,"Y")&lt;8,VLOOKUP(YEAR(A34),Resumen!$O$7:$P$12,2,0),0),0),0))+(IF(Resumen!$B$21="Sí",IF(Resumen!$C$21&lt;=A34,IF(DATEDIF(Resumen!$C$21,A34,"Y")&lt;8,VLOOKUP(YEAR(A34),Resumen!$O$7:$P$12,2,0),0),0),0))</f>
        <v>0</v>
      </c>
      <c r="AC34" s="1">
        <f>IF(MONTH(A34)=12,VLOOKUP(YEAR(A34),Resumen!$O$7:$P$12,2,0),0)</f>
        <v>0</v>
      </c>
      <c r="AD34" s="1">
        <f t="shared" si="0"/>
        <v>0</v>
      </c>
      <c r="AE34" s="19">
        <f>(IF(Resumen!$B$25="Sí",IF(DATE(YEAR(Resumen!$C$25),MONTH(Resumen!$C$25),1)=A34,1000,0)+(IF(Resumen!$B$26="Sí",IF(DATE(YEAR(Resumen!$C$26),MONTH(Resumen!$C$26),1)=A34,1000,0),0)),0))</f>
        <v>0</v>
      </c>
      <c r="AF34" s="1">
        <v>0</v>
      </c>
      <c r="AG34" s="1">
        <v>0</v>
      </c>
      <c r="AH34" s="19">
        <v>130</v>
      </c>
      <c r="AI34" s="1">
        <f>IF(MONTH(A34)=1,(VLOOKUP(YEAR(A34),Resumen!$O$7:$P$12,2,0))*3,0)</f>
        <v>0</v>
      </c>
      <c r="AJ34" s="19">
        <f>IF(MONTH(A34)=12,(15+DATEDIF(Resumen!$B$6,A34,"y"))*50,0)</f>
        <v>0</v>
      </c>
      <c r="AK34" s="5">
        <f>IF(Resumen!$B$13="No",IF(Resumen!$B$12="No",20,100),0)</f>
        <v>20</v>
      </c>
      <c r="AL34" s="1">
        <f>IF(Resumen!$B$14="Código",(S34+T34+U34+Y34)*9.45%*-1,(S34+T34+U34+Y34)*11.45%*-1)</f>
        <v>-271.04439999999994</v>
      </c>
      <c r="AN34" s="3">
        <f t="shared" si="1"/>
        <v>300</v>
      </c>
      <c r="AO34" s="4">
        <f t="shared" si="2"/>
        <v>0</v>
      </c>
      <c r="AP34" s="4">
        <f t="shared" si="3"/>
        <v>40</v>
      </c>
      <c r="AQ34" s="4">
        <f t="shared" si="4"/>
        <v>80.030000000000015</v>
      </c>
      <c r="AR34" s="4">
        <f t="shared" si="5"/>
        <v>79.989999999999995</v>
      </c>
      <c r="AS34" s="4">
        <f t="shared" si="6"/>
        <v>620.27</v>
      </c>
      <c r="AT34" s="4">
        <f t="shared" si="7"/>
        <v>24</v>
      </c>
      <c r="AU34" s="4">
        <f t="shared" si="8"/>
        <v>50</v>
      </c>
      <c r="AV34" s="6">
        <f t="shared" si="9"/>
        <v>0</v>
      </c>
      <c r="AW34" s="6">
        <f t="shared" si="10"/>
        <v>0</v>
      </c>
      <c r="AX34" s="6">
        <f t="shared" si="11"/>
        <v>0</v>
      </c>
      <c r="AY34" s="6">
        <f t="shared" si="22"/>
        <v>130</v>
      </c>
      <c r="AZ34" s="6">
        <f t="shared" si="12"/>
        <v>20</v>
      </c>
      <c r="BA34" s="6">
        <f t="shared" si="23"/>
        <v>0</v>
      </c>
      <c r="BB34" s="6">
        <f t="shared" si="24"/>
        <v>0</v>
      </c>
      <c r="BC34" s="6">
        <f t="shared" si="25"/>
        <v>0</v>
      </c>
      <c r="BD34" s="6">
        <f t="shared" si="13"/>
        <v>-109.95091499999998</v>
      </c>
      <c r="BF34" s="3">
        <f t="shared" si="26"/>
        <v>1234.3390850000001</v>
      </c>
      <c r="BG34" s="3">
        <f ca="1">BF34*Resumen!$P$14*((TODAY()-(A34+30))/360)</f>
        <v>283.8650738410667</v>
      </c>
    </row>
    <row r="35" spans="1:59" x14ac:dyDescent="0.25">
      <c r="A35" s="7">
        <v>44075</v>
      </c>
      <c r="B35" s="9">
        <f>IF(Resumen!$B$14="Código",IF(A35&lt;DATE(2021,7,1),Resumen!$B$7,Resumen!$B$7+300),IF(A35&lt;DATE(2022,3,1),Resumen!$B$7,Resumen!$B$7+300))</f>
        <v>1212</v>
      </c>
      <c r="C35" s="77">
        <v>0</v>
      </c>
      <c r="D35" s="77">
        <v>8</v>
      </c>
      <c r="E35" s="4">
        <f t="shared" si="14"/>
        <v>0</v>
      </c>
      <c r="F35" s="4">
        <f t="shared" si="15"/>
        <v>80.8</v>
      </c>
      <c r="G35" s="4">
        <f>IF(Resumen!$B$14="Código",IF(A35&lt;DATE(2021,7,1),(Resumen!$B$7*0.25%)*DATEDIF("1/1/2009",A35,"y"),IF(Resumen!$B$9="Sí",(((B35*0.03)+(VLOOKUP(YEAR(A35),Resumen!$O$7:$P$12,2,0)*0.05))*DATEDIF(MAX("1/5/2008",Resumen!$B$6),A35,"y")),(((B35*0.03)+(VLOOKUP(YEAR(A35),Resumen!$O$7:$P$12,2,0)*0.05))*DATEDIF(Resumen!$B$6,A35,"y")))),IF(A35&lt;DATE(2022,3,1),(Resumen!$B$7*0.25%)*DATEDIF("1/1/2009",A35,"y"),IF(Resumen!$B$9="Sí",(((B35*0.03)+(VLOOKUP(YEAR(A35),Resumen!$O$7:$P$12,2,0)*0.05))*DATEDIF(MAX("1/5/2008",Resumen!$B$6),A35,"y")),(((B35*0.03)+(VLOOKUP(YEAR(A35),Resumen!$O$7:$P$12,2,0)*0.05))*DATEDIF(Resumen!$B$6,A35,"y")))))</f>
        <v>33.330000000000005</v>
      </c>
      <c r="H35" s="4">
        <f t="shared" si="16"/>
        <v>110.51</v>
      </c>
      <c r="I35" s="4">
        <f t="shared" si="17"/>
        <v>110.47</v>
      </c>
      <c r="J35" s="1">
        <f>IF(Resumen!$B$14="Código",IF(A35&lt;DATE(2021,7,1),0,(0.03*(VLOOKUP(YEAR(A35),Resumen!$O$7:$P$12,2,0))*Resumen!$B$8)),IF(A35&lt;DATE(2022,3,1),0,(0.03*(VLOOKUP(YEAR(A35),Resumen!$O$7:$P$12,2,0))*Resumen!$B$8)))</f>
        <v>0</v>
      </c>
      <c r="K35" s="1">
        <f>IF(Resumen!$B$14="Código",IF(A35&lt;DATE(2021,7,1),0,50),IF(A35&lt;DATE(2022,3,1),0,50))</f>
        <v>0</v>
      </c>
      <c r="L35" s="1">
        <v>0</v>
      </c>
      <c r="M35" s="1">
        <v>0</v>
      </c>
      <c r="N35" s="1">
        <v>0</v>
      </c>
      <c r="O35" s="1">
        <v>0</v>
      </c>
      <c r="P35" s="1">
        <v>0</v>
      </c>
      <c r="Q35" s="1">
        <f>IF(Resumen!$B$14="Código",(B35+E35+F35+G35)*9.45%*-1,(B35+E35+F35+G35)*11.45%*-1)</f>
        <v>-151.84188499999996</v>
      </c>
      <c r="R35" s="3"/>
      <c r="S35" s="9">
        <f t="shared" si="28"/>
        <v>1512</v>
      </c>
      <c r="T35" s="4">
        <f t="shared" si="18"/>
        <v>0</v>
      </c>
      <c r="U35" s="4">
        <f t="shared" si="19"/>
        <v>100.8</v>
      </c>
      <c r="V35" s="4">
        <f t="shared" si="20"/>
        <v>188.87</v>
      </c>
      <c r="W35" s="4">
        <f t="shared" si="21"/>
        <v>188.79</v>
      </c>
      <c r="X35" s="4">
        <f>(0.03*(VLOOKUP(YEAR(A35),Resumen!$O$7:$P$12,2,0))*Resumen!$B$8)</f>
        <v>24</v>
      </c>
      <c r="Y35" s="4">
        <f>(((S35*0.03)+(VLOOKUP(YEAR(A35),Resumen!$O$7:$P$12,2,0)*0.05))*DATEDIF(Resumen!$B$6,A35,"y"))</f>
        <v>653.6</v>
      </c>
      <c r="Z35" s="3">
        <v>50</v>
      </c>
      <c r="AA35" s="1">
        <f>IF(DATEDIF(Resumen!$B$6,A35,"M")/12=5,S35/2,IF(DATEDIF(Resumen!$B$6,A35,"M")/12=10,S35,IF(DATEDIF(Resumen!$B$6,A35,"M")/12=15,S35*1.5,IF(DATEDIF(Resumen!$B$6,A35,"M")/12=20,S35*2,IF(DATEDIF(Resumen!$B$6,A35,"M")/12=25,S35*2.5,IF(DATEDIF(Resumen!$B$6,A35,"M")/12=30,S35*3,0))))))</f>
        <v>0</v>
      </c>
      <c r="AB35" s="19">
        <f>(IF(Resumen!$B$20="Sí",IF(Resumen!$C$20&lt;=A35,IF(DATEDIF(Resumen!$C$20,A35,"Y")&lt;8,VLOOKUP(YEAR(A35),Resumen!$O$7:$P$12,2,0),0),0),0))+(IF(Resumen!$B$21="Sí",IF(Resumen!$C$21&lt;=A35,IF(DATEDIF(Resumen!$C$21,A35,"Y")&lt;8,VLOOKUP(YEAR(A35),Resumen!$O$7:$P$12,2,0),0),0),0))</f>
        <v>0</v>
      </c>
      <c r="AC35" s="1">
        <f>IF(MONTH(A35)=12,VLOOKUP(YEAR(A35),Resumen!$O$7:$P$12,2,0),0)</f>
        <v>0</v>
      </c>
      <c r="AD35" s="1">
        <f t="shared" ref="AD35:AD65" si="29">IF(MONTH(A35)=12,100,0)</f>
        <v>0</v>
      </c>
      <c r="AE35" s="19">
        <f>(IF(Resumen!$B$25="Sí",IF(DATE(YEAR(Resumen!$C$25),MONTH(Resumen!$C$25),1)=A35,1000,0)+(IF(Resumen!$B$26="Sí",IF(DATE(YEAR(Resumen!$C$26),MONTH(Resumen!$C$26),1)=A35,1000,0),0)),0))</f>
        <v>0</v>
      </c>
      <c r="AF35" s="1">
        <v>0</v>
      </c>
      <c r="AG35" s="1">
        <v>0</v>
      </c>
      <c r="AH35" s="19">
        <v>130</v>
      </c>
      <c r="AI35" s="1">
        <f>IF(MONTH(A35)=1,(VLOOKUP(YEAR(A35),Resumen!$O$7:$P$12,2,0))*3,0)</f>
        <v>0</v>
      </c>
      <c r="AJ35" s="19">
        <f>IF(MONTH(A35)=12,(15+DATEDIF(Resumen!$B$6,A35,"y"))*50,0)</f>
        <v>0</v>
      </c>
      <c r="AK35" s="5">
        <f>IF(Resumen!$B$13="No",IF(Resumen!$B$12="No",20,100),0)</f>
        <v>20</v>
      </c>
      <c r="AL35" s="1">
        <f>IF(Resumen!$B$14="Código",(S35+T35+U35+Y35)*9.45%*-1,(S35+T35+U35+Y35)*11.45%*-1)</f>
        <v>-259.50279999999998</v>
      </c>
      <c r="AN35" s="3">
        <f t="shared" ref="AN35:AN65" si="30">S35-B35</f>
        <v>300</v>
      </c>
      <c r="AO35" s="4">
        <f t="shared" ref="AO35:AO65" si="31">T35-E35</f>
        <v>0</v>
      </c>
      <c r="AP35" s="4">
        <f t="shared" ref="AP35:AP65" si="32">U35-F35</f>
        <v>20</v>
      </c>
      <c r="AQ35" s="4">
        <f t="shared" ref="AQ35:AQ65" si="33">V35-H35</f>
        <v>78.36</v>
      </c>
      <c r="AR35" s="4">
        <f t="shared" ref="AR35:AR65" si="34">W35-I35</f>
        <v>78.319999999999993</v>
      </c>
      <c r="AS35" s="4">
        <f t="shared" ref="AS35:AS65" si="35">Y35-G35</f>
        <v>620.27</v>
      </c>
      <c r="AT35" s="4">
        <f t="shared" ref="AT35:AT65" si="36">X35-J35</f>
        <v>24</v>
      </c>
      <c r="AU35" s="4">
        <f t="shared" ref="AU35:AU65" si="37">Z35-K35</f>
        <v>50</v>
      </c>
      <c r="AV35" s="6">
        <f t="shared" ref="AV35:AV65" si="38">AC35-L35</f>
        <v>0</v>
      </c>
      <c r="AW35" s="6">
        <f t="shared" ref="AW35:AW65" si="39">AD35-M35</f>
        <v>0</v>
      </c>
      <c r="AX35" s="6">
        <f t="shared" ref="AX35:AX65" si="40">AF35-N35</f>
        <v>0</v>
      </c>
      <c r="AY35" s="6">
        <f t="shared" si="22"/>
        <v>130</v>
      </c>
      <c r="AZ35" s="6">
        <f t="shared" ref="AZ35:AZ65" si="41">AK35-O35</f>
        <v>20</v>
      </c>
      <c r="BA35" s="6">
        <f t="shared" si="23"/>
        <v>0</v>
      </c>
      <c r="BB35" s="6">
        <f t="shared" si="24"/>
        <v>0</v>
      </c>
      <c r="BC35" s="6">
        <f t="shared" si="25"/>
        <v>0</v>
      </c>
      <c r="BD35" s="6">
        <f t="shared" ref="BD35:BD65" si="42">AL35-Q35</f>
        <v>-107.66091500000002</v>
      </c>
      <c r="BF35" s="3">
        <f t="shared" si="26"/>
        <v>1213.2890850000001</v>
      </c>
      <c r="BG35" s="3">
        <f ca="1">BF35*Resumen!$P$14*((TODAY()-(A35+30))/360)</f>
        <v>269.66293583413335</v>
      </c>
    </row>
    <row r="36" spans="1:59" x14ac:dyDescent="0.25">
      <c r="A36" s="7">
        <v>44105</v>
      </c>
      <c r="B36" s="9">
        <f>IF(Resumen!$B$14="Código",IF(A36&lt;DATE(2021,7,1),Resumen!$B$7,Resumen!$B$7+300),IF(A36&lt;DATE(2022,3,1),Resumen!$B$7,Resumen!$B$7+300))</f>
        <v>1212</v>
      </c>
      <c r="C36" s="77">
        <v>0</v>
      </c>
      <c r="D36" s="77">
        <v>16</v>
      </c>
      <c r="E36" s="4">
        <f t="shared" si="14"/>
        <v>0</v>
      </c>
      <c r="F36" s="4">
        <f t="shared" si="15"/>
        <v>161.6</v>
      </c>
      <c r="G36" s="4">
        <f>IF(Resumen!$B$14="Código",IF(A36&lt;DATE(2021,7,1),(Resumen!$B$7*0.25%)*DATEDIF("1/1/2009",A36,"y"),IF(Resumen!$B$9="Sí",(((B36*0.03)+(VLOOKUP(YEAR(A36),Resumen!$O$7:$P$12,2,0)*0.05))*DATEDIF(MAX("1/5/2008",Resumen!$B$6),A36,"y")),(((B36*0.03)+(VLOOKUP(YEAR(A36),Resumen!$O$7:$P$12,2,0)*0.05))*DATEDIF(Resumen!$B$6,A36,"y")))),IF(A36&lt;DATE(2022,3,1),(Resumen!$B$7*0.25%)*DATEDIF("1/1/2009",A36,"y"),IF(Resumen!$B$9="Sí",(((B36*0.03)+(VLOOKUP(YEAR(A36),Resumen!$O$7:$P$12,2,0)*0.05))*DATEDIF(MAX("1/5/2008",Resumen!$B$6),A36,"y")),(((B36*0.03)+(VLOOKUP(YEAR(A36),Resumen!$O$7:$P$12,2,0)*0.05))*DATEDIF(Resumen!$B$6,A36,"y")))))</f>
        <v>33.330000000000005</v>
      </c>
      <c r="H36" s="4">
        <f t="shared" si="16"/>
        <v>117.24</v>
      </c>
      <c r="I36" s="4">
        <f t="shared" si="17"/>
        <v>117.2</v>
      </c>
      <c r="J36" s="1">
        <f>IF(Resumen!$B$14="Código",IF(A36&lt;DATE(2021,7,1),0,(0.03*(VLOOKUP(YEAR(A36),Resumen!$O$7:$P$12,2,0))*Resumen!$B$8)),IF(A36&lt;DATE(2022,3,1),0,(0.03*(VLOOKUP(YEAR(A36),Resumen!$O$7:$P$12,2,0))*Resumen!$B$8)))</f>
        <v>0</v>
      </c>
      <c r="K36" s="1">
        <f>IF(Resumen!$B$14="Código",IF(A36&lt;DATE(2021,7,1),0,50),IF(A36&lt;DATE(2022,3,1),0,50))</f>
        <v>0</v>
      </c>
      <c r="L36" s="1">
        <v>0</v>
      </c>
      <c r="M36" s="1">
        <v>0</v>
      </c>
      <c r="N36" s="1">
        <v>0</v>
      </c>
      <c r="O36" s="1">
        <v>0</v>
      </c>
      <c r="P36" s="1">
        <v>0</v>
      </c>
      <c r="Q36" s="1">
        <f>IF(Resumen!$B$14="Código",(B36+E36+F36+G36)*9.45%*-1,(B36+E36+F36+G36)*11.45%*-1)</f>
        <v>-161.09348499999996</v>
      </c>
      <c r="R36" s="3"/>
      <c r="S36" s="9">
        <f t="shared" si="28"/>
        <v>1512</v>
      </c>
      <c r="T36" s="4">
        <f t="shared" si="18"/>
        <v>0</v>
      </c>
      <c r="U36" s="4">
        <f t="shared" si="19"/>
        <v>201.6</v>
      </c>
      <c r="V36" s="4">
        <f t="shared" si="20"/>
        <v>197.27</v>
      </c>
      <c r="W36" s="4">
        <f t="shared" si="21"/>
        <v>197.19</v>
      </c>
      <c r="X36" s="4">
        <f>(0.03*(VLOOKUP(YEAR(A36),Resumen!$O$7:$P$12,2,0))*Resumen!$B$8)</f>
        <v>24</v>
      </c>
      <c r="Y36" s="4">
        <f>(((S36*0.03)+(VLOOKUP(YEAR(A36),Resumen!$O$7:$P$12,2,0)*0.05))*DATEDIF(Resumen!$B$6,A36,"y"))</f>
        <v>653.6</v>
      </c>
      <c r="Z36" s="3">
        <v>50</v>
      </c>
      <c r="AA36" s="1">
        <f>IF(DATEDIF(Resumen!$B$6,A36,"M")/12=5,S36/2,IF(DATEDIF(Resumen!$B$6,A36,"M")/12=10,S36,IF(DATEDIF(Resumen!$B$6,A36,"M")/12=15,S36*1.5,IF(DATEDIF(Resumen!$B$6,A36,"M")/12=20,S36*2,IF(DATEDIF(Resumen!$B$6,A36,"M")/12=25,S36*2.5,IF(DATEDIF(Resumen!$B$6,A36,"M")/12=30,S36*3,0))))))</f>
        <v>0</v>
      </c>
      <c r="AB36" s="19">
        <f>(IF(Resumen!$B$20="Sí",IF(Resumen!$C$20&lt;=A36,IF(DATEDIF(Resumen!$C$20,A36,"Y")&lt;8,VLOOKUP(YEAR(A36),Resumen!$O$7:$P$12,2,0),0),0),0))+(IF(Resumen!$B$21="Sí",IF(Resumen!$C$21&lt;=A36,IF(DATEDIF(Resumen!$C$21,A36,"Y")&lt;8,VLOOKUP(YEAR(A36),Resumen!$O$7:$P$12,2,0),0),0),0))</f>
        <v>0</v>
      </c>
      <c r="AC36" s="1">
        <f>IF(MONTH(A36)=12,VLOOKUP(YEAR(A36),Resumen!$O$7:$P$12,2,0),0)</f>
        <v>0</v>
      </c>
      <c r="AD36" s="1">
        <f t="shared" si="29"/>
        <v>0</v>
      </c>
      <c r="AE36" s="19">
        <f>(IF(Resumen!$B$25="Sí",IF(DATE(YEAR(Resumen!$C$25),MONTH(Resumen!$C$25),1)=A36,1000,0)+(IF(Resumen!$B$26="Sí",IF(DATE(YEAR(Resumen!$C$26),MONTH(Resumen!$C$26),1)=A36,1000,0),0)),0))</f>
        <v>0</v>
      </c>
      <c r="AF36" s="1">
        <v>0</v>
      </c>
      <c r="AG36" s="1">
        <v>0</v>
      </c>
      <c r="AH36" s="19">
        <v>130</v>
      </c>
      <c r="AI36" s="1">
        <f>IF(MONTH(A36)=1,(VLOOKUP(YEAR(A36),Resumen!$O$7:$P$12,2,0))*3,0)</f>
        <v>0</v>
      </c>
      <c r="AJ36" s="19">
        <f>IF(MONTH(A36)=12,(15+DATEDIF(Resumen!$B$6,A36,"y"))*50,0)</f>
        <v>0</v>
      </c>
      <c r="AK36" s="5">
        <f>IF(Resumen!$B$13="No",IF(Resumen!$B$12="No",20,100),0)</f>
        <v>20</v>
      </c>
      <c r="AL36" s="1">
        <f>IF(Resumen!$B$14="Código",(S36+T36+U36+Y36)*9.45%*-1,(S36+T36+U36+Y36)*11.45%*-1)</f>
        <v>-271.04439999999994</v>
      </c>
      <c r="AN36" s="3">
        <f t="shared" si="30"/>
        <v>300</v>
      </c>
      <c r="AO36" s="4">
        <f t="shared" si="31"/>
        <v>0</v>
      </c>
      <c r="AP36" s="4">
        <f t="shared" si="32"/>
        <v>40</v>
      </c>
      <c r="AQ36" s="4">
        <f t="shared" si="33"/>
        <v>80.030000000000015</v>
      </c>
      <c r="AR36" s="4">
        <f t="shared" si="34"/>
        <v>79.989999999999995</v>
      </c>
      <c r="AS36" s="4">
        <f t="shared" si="35"/>
        <v>620.27</v>
      </c>
      <c r="AT36" s="4">
        <f t="shared" si="36"/>
        <v>24</v>
      </c>
      <c r="AU36" s="4">
        <f t="shared" si="37"/>
        <v>50</v>
      </c>
      <c r="AV36" s="6">
        <f t="shared" si="38"/>
        <v>0</v>
      </c>
      <c r="AW36" s="6">
        <f t="shared" si="39"/>
        <v>0</v>
      </c>
      <c r="AX36" s="6">
        <f t="shared" si="40"/>
        <v>0</v>
      </c>
      <c r="AY36" s="6">
        <f t="shared" si="22"/>
        <v>130</v>
      </c>
      <c r="AZ36" s="6">
        <f t="shared" si="41"/>
        <v>20</v>
      </c>
      <c r="BA36" s="6">
        <f t="shared" si="23"/>
        <v>0</v>
      </c>
      <c r="BB36" s="6">
        <f t="shared" si="24"/>
        <v>0</v>
      </c>
      <c r="BC36" s="6">
        <f t="shared" si="25"/>
        <v>0</v>
      </c>
      <c r="BD36" s="6">
        <f t="shared" si="42"/>
        <v>-109.95091499999998</v>
      </c>
      <c r="BF36" s="3">
        <f t="shared" si="26"/>
        <v>1234.3390850000001</v>
      </c>
      <c r="BG36" s="3">
        <f ca="1">BF36*Resumen!$P$14*((TODAY()-(A36+30))/360)</f>
        <v>265.12506355502222</v>
      </c>
    </row>
    <row r="37" spans="1:59" x14ac:dyDescent="0.25">
      <c r="A37" s="7">
        <v>44136</v>
      </c>
      <c r="B37" s="9">
        <f>IF(Resumen!$B$14="Código",IF(A37&lt;DATE(2021,7,1),Resumen!$B$7,Resumen!$B$7+300),IF(A37&lt;DATE(2022,3,1),Resumen!$B$7,Resumen!$B$7+300))</f>
        <v>1212</v>
      </c>
      <c r="C37" s="77">
        <v>0</v>
      </c>
      <c r="D37" s="77">
        <v>8</v>
      </c>
      <c r="E37" s="4">
        <f t="shared" si="14"/>
        <v>0</v>
      </c>
      <c r="F37" s="4">
        <f t="shared" si="15"/>
        <v>80.8</v>
      </c>
      <c r="G37" s="4">
        <f>IF(Resumen!$B$14="Código",IF(A37&lt;DATE(2021,7,1),(Resumen!$B$7*0.25%)*DATEDIF("1/1/2009",A37,"y"),IF(Resumen!$B$9="Sí",(((B37*0.03)+(VLOOKUP(YEAR(A37),Resumen!$O$7:$P$12,2,0)*0.05))*DATEDIF(MAX("1/5/2008",Resumen!$B$6),A37,"y")),(((B37*0.03)+(VLOOKUP(YEAR(A37),Resumen!$O$7:$P$12,2,0)*0.05))*DATEDIF(Resumen!$B$6,A37,"y")))),IF(A37&lt;DATE(2022,3,1),(Resumen!$B$7*0.25%)*DATEDIF("1/1/2009",A37,"y"),IF(Resumen!$B$9="Sí",(((B37*0.03)+(VLOOKUP(YEAR(A37),Resumen!$O$7:$P$12,2,0)*0.05))*DATEDIF(MAX("1/5/2008",Resumen!$B$6),A37,"y")),(((B37*0.03)+(VLOOKUP(YEAR(A37),Resumen!$O$7:$P$12,2,0)*0.05))*DATEDIF(Resumen!$B$6,A37,"y")))))</f>
        <v>33.330000000000005</v>
      </c>
      <c r="H37" s="4">
        <f t="shared" si="16"/>
        <v>110.51</v>
      </c>
      <c r="I37" s="4">
        <f t="shared" si="17"/>
        <v>110.47</v>
      </c>
      <c r="J37" s="1">
        <f>IF(Resumen!$B$14="Código",IF(A37&lt;DATE(2021,7,1),0,(0.03*(VLOOKUP(YEAR(A37),Resumen!$O$7:$P$12,2,0))*Resumen!$B$8)),IF(A37&lt;DATE(2022,3,1),0,(0.03*(VLOOKUP(YEAR(A37),Resumen!$O$7:$P$12,2,0))*Resumen!$B$8)))</f>
        <v>0</v>
      </c>
      <c r="K37" s="1">
        <f>IF(Resumen!$B$14="Código",IF(A37&lt;DATE(2021,7,1),0,50),IF(A37&lt;DATE(2022,3,1),0,50))</f>
        <v>0</v>
      </c>
      <c r="L37" s="1">
        <v>0</v>
      </c>
      <c r="M37" s="1">
        <v>0</v>
      </c>
      <c r="N37" s="1">
        <v>0</v>
      </c>
      <c r="O37" s="1">
        <v>0</v>
      </c>
      <c r="P37" s="1">
        <v>0</v>
      </c>
      <c r="Q37" s="1">
        <f>IF(Resumen!$B$14="Código",(B37+E37+F37+G37)*9.45%*-1,(B37+E37+F37+G37)*11.45%*-1)</f>
        <v>-151.84188499999996</v>
      </c>
      <c r="R37" s="3"/>
      <c r="S37" s="9">
        <f t="shared" si="28"/>
        <v>1512</v>
      </c>
      <c r="T37" s="4">
        <f t="shared" si="18"/>
        <v>0</v>
      </c>
      <c r="U37" s="4">
        <f t="shared" si="19"/>
        <v>100.8</v>
      </c>
      <c r="V37" s="4">
        <f t="shared" si="20"/>
        <v>188.87</v>
      </c>
      <c r="W37" s="4">
        <f t="shared" si="21"/>
        <v>188.79</v>
      </c>
      <c r="X37" s="4">
        <f>(0.03*(VLOOKUP(YEAR(A37),Resumen!$O$7:$P$12,2,0))*Resumen!$B$8)</f>
        <v>24</v>
      </c>
      <c r="Y37" s="4">
        <f>(((S37*0.03)+(VLOOKUP(YEAR(A37),Resumen!$O$7:$P$12,2,0)*0.05))*DATEDIF(Resumen!$B$6,A37,"y"))</f>
        <v>653.6</v>
      </c>
      <c r="Z37" s="3">
        <v>50</v>
      </c>
      <c r="AA37" s="1">
        <f>IF(DATEDIF(Resumen!$B$6,A37,"M")/12=5,S37/2,IF(DATEDIF(Resumen!$B$6,A37,"M")/12=10,S37,IF(DATEDIF(Resumen!$B$6,A37,"M")/12=15,S37*1.5,IF(DATEDIF(Resumen!$B$6,A37,"M")/12=20,S37*2,IF(DATEDIF(Resumen!$B$6,A37,"M")/12=25,S37*2.5,IF(DATEDIF(Resumen!$B$6,A37,"M")/12=30,S37*3,0))))))</f>
        <v>0</v>
      </c>
      <c r="AB37" s="19">
        <f>(IF(Resumen!$B$20="Sí",IF(Resumen!$C$20&lt;=A37,IF(DATEDIF(Resumen!$C$20,A37,"Y")&lt;8,VLOOKUP(YEAR(A37),Resumen!$O$7:$P$12,2,0),0),0),0))+(IF(Resumen!$B$21="Sí",IF(Resumen!$C$21&lt;=A37,IF(DATEDIF(Resumen!$C$21,A37,"Y")&lt;8,VLOOKUP(YEAR(A37),Resumen!$O$7:$P$12,2,0),0),0),0))</f>
        <v>0</v>
      </c>
      <c r="AC37" s="1">
        <f>IF(MONTH(A37)=12,VLOOKUP(YEAR(A37),Resumen!$O$7:$P$12,2,0),0)</f>
        <v>0</v>
      </c>
      <c r="AD37" s="1">
        <f t="shared" si="29"/>
        <v>0</v>
      </c>
      <c r="AE37" s="19">
        <f>(IF(Resumen!$B$25="Sí",IF(DATE(YEAR(Resumen!$C$25),MONTH(Resumen!$C$25),1)=A37,1000,0)+(IF(Resumen!$B$26="Sí",IF(DATE(YEAR(Resumen!$C$26),MONTH(Resumen!$C$26),1)=A37,1000,0),0)),0))</f>
        <v>0</v>
      </c>
      <c r="AF37" s="1">
        <v>0</v>
      </c>
      <c r="AG37" s="1">
        <v>0</v>
      </c>
      <c r="AH37" s="19">
        <v>130</v>
      </c>
      <c r="AI37" s="1">
        <f>IF(MONTH(A37)=1,(VLOOKUP(YEAR(A37),Resumen!$O$7:$P$12,2,0))*3,0)</f>
        <v>0</v>
      </c>
      <c r="AJ37" s="19">
        <f>IF(MONTH(A37)=12,(15+DATEDIF(Resumen!$B$6,A37,"y"))*50,0)</f>
        <v>0</v>
      </c>
      <c r="AK37" s="5">
        <f>IF(Resumen!$B$13="No",IF(Resumen!$B$12="No",20,100),0)</f>
        <v>20</v>
      </c>
      <c r="AL37" s="1">
        <f>IF(Resumen!$B$14="Código",(S37+T37+U37+Y37)*9.45%*-1,(S37+T37+U37+Y37)*11.45%*-1)</f>
        <v>-259.50279999999998</v>
      </c>
      <c r="AN37" s="3">
        <f t="shared" si="30"/>
        <v>300</v>
      </c>
      <c r="AO37" s="4">
        <f t="shared" si="31"/>
        <v>0</v>
      </c>
      <c r="AP37" s="4">
        <f t="shared" si="32"/>
        <v>20</v>
      </c>
      <c r="AQ37" s="4">
        <f t="shared" si="33"/>
        <v>78.36</v>
      </c>
      <c r="AR37" s="4">
        <f t="shared" si="34"/>
        <v>78.319999999999993</v>
      </c>
      <c r="AS37" s="4">
        <f t="shared" si="35"/>
        <v>620.27</v>
      </c>
      <c r="AT37" s="4">
        <f t="shared" si="36"/>
        <v>24</v>
      </c>
      <c r="AU37" s="4">
        <f t="shared" si="37"/>
        <v>50</v>
      </c>
      <c r="AV37" s="6">
        <f t="shared" si="38"/>
        <v>0</v>
      </c>
      <c r="AW37" s="6">
        <f t="shared" si="39"/>
        <v>0</v>
      </c>
      <c r="AX37" s="6">
        <f t="shared" si="40"/>
        <v>0</v>
      </c>
      <c r="AY37" s="6">
        <f t="shared" si="22"/>
        <v>130</v>
      </c>
      <c r="AZ37" s="6">
        <f t="shared" si="41"/>
        <v>20</v>
      </c>
      <c r="BA37" s="6">
        <f t="shared" si="23"/>
        <v>0</v>
      </c>
      <c r="BB37" s="6">
        <f t="shared" si="24"/>
        <v>0</v>
      </c>
      <c r="BC37" s="6">
        <f t="shared" si="25"/>
        <v>0</v>
      </c>
      <c r="BD37" s="6">
        <f t="shared" si="42"/>
        <v>-107.66091500000002</v>
      </c>
      <c r="BF37" s="3">
        <f t="shared" si="26"/>
        <v>1213.2890850000001</v>
      </c>
      <c r="BG37" s="3">
        <f ca="1">BF37*Resumen!$P$14*((TODAY()-(A37+30))/360)</f>
        <v>251.24251132586667</v>
      </c>
    </row>
    <row r="38" spans="1:59" x14ac:dyDescent="0.25">
      <c r="A38" s="7">
        <v>44166</v>
      </c>
      <c r="B38" s="9">
        <f>IF(Resumen!$B$14="Código",IF(A38&lt;DATE(2021,7,1),Resumen!$B$7,Resumen!$B$7+300),IF(A38&lt;DATE(2022,3,1),Resumen!$B$7,Resumen!$B$7+300))</f>
        <v>1212</v>
      </c>
      <c r="C38" s="77">
        <v>0</v>
      </c>
      <c r="D38" s="77">
        <v>8</v>
      </c>
      <c r="E38" s="4">
        <f t="shared" si="14"/>
        <v>0</v>
      </c>
      <c r="F38" s="4">
        <f t="shared" si="15"/>
        <v>80.8</v>
      </c>
      <c r="G38" s="4">
        <f>IF(Resumen!$B$14="Código",IF(A38&lt;DATE(2021,7,1),(Resumen!$B$7*0.25%)*DATEDIF("1/1/2009",A38,"y"),IF(Resumen!$B$9="Sí",(((B38*0.03)+(VLOOKUP(YEAR(A38),Resumen!$O$7:$P$12,2,0)*0.05))*DATEDIF(MAX("1/5/2008",Resumen!$B$6),A38,"y")),(((B38*0.03)+(VLOOKUP(YEAR(A38),Resumen!$O$7:$P$12,2,0)*0.05))*DATEDIF(Resumen!$B$6,A38,"y")))),IF(A38&lt;DATE(2022,3,1),(Resumen!$B$7*0.25%)*DATEDIF("1/1/2009",A38,"y"),IF(Resumen!$B$9="Sí",(((B38*0.03)+(VLOOKUP(YEAR(A38),Resumen!$O$7:$P$12,2,0)*0.05))*DATEDIF(MAX("1/5/2008",Resumen!$B$6),A38,"y")),(((B38*0.03)+(VLOOKUP(YEAR(A38),Resumen!$O$7:$P$12,2,0)*0.05))*DATEDIF(Resumen!$B$6,A38,"y")))))</f>
        <v>33.330000000000005</v>
      </c>
      <c r="H38" s="4">
        <f t="shared" si="16"/>
        <v>110.51</v>
      </c>
      <c r="I38" s="4">
        <f t="shared" si="17"/>
        <v>110.47</v>
      </c>
      <c r="J38" s="1">
        <f>IF(Resumen!$B$14="Código",IF(A38&lt;DATE(2021,7,1),0,(0.03*(VLOOKUP(YEAR(A38),Resumen!$O$7:$P$12,2,0))*Resumen!$B$8)),IF(A38&lt;DATE(2022,3,1),0,(0.03*(VLOOKUP(YEAR(A38),Resumen!$O$7:$P$12,2,0))*Resumen!$B$8)))</f>
        <v>0</v>
      </c>
      <c r="K38" s="1">
        <f>IF(Resumen!$B$14="Código",IF(A38&lt;DATE(2021,7,1),0,50),IF(A38&lt;DATE(2022,3,1),0,50))</f>
        <v>0</v>
      </c>
      <c r="L38" s="1">
        <v>0</v>
      </c>
      <c r="M38" s="1">
        <v>0</v>
      </c>
      <c r="N38" s="1">
        <v>0</v>
      </c>
      <c r="O38" s="1">
        <v>0</v>
      </c>
      <c r="P38" s="1">
        <v>0</v>
      </c>
      <c r="Q38" s="1">
        <f>IF(Resumen!$B$14="Código",(B38+E38+F38+G38)*9.45%*-1,(B38+E38+F38+G38)*11.45%*-1)</f>
        <v>-151.84188499999996</v>
      </c>
      <c r="R38" s="3"/>
      <c r="S38" s="9">
        <f t="shared" si="28"/>
        <v>1512</v>
      </c>
      <c r="T38" s="4">
        <f t="shared" si="18"/>
        <v>0</v>
      </c>
      <c r="U38" s="4">
        <f t="shared" si="19"/>
        <v>100.8</v>
      </c>
      <c r="V38" s="4">
        <f t="shared" si="20"/>
        <v>188.87</v>
      </c>
      <c r="W38" s="4">
        <f t="shared" si="21"/>
        <v>188.79</v>
      </c>
      <c r="X38" s="4">
        <f>(0.03*(VLOOKUP(YEAR(A38),Resumen!$O$7:$P$12,2,0))*Resumen!$B$8)</f>
        <v>24</v>
      </c>
      <c r="Y38" s="4">
        <f>(((S38*0.03)+(VLOOKUP(YEAR(A38),Resumen!$O$7:$P$12,2,0)*0.05))*DATEDIF(Resumen!$B$6,A38,"y"))</f>
        <v>653.6</v>
      </c>
      <c r="Z38" s="3">
        <v>50</v>
      </c>
      <c r="AA38" s="1">
        <f>IF(DATEDIF(Resumen!$B$6,A38,"M")/12=5,S38/2,IF(DATEDIF(Resumen!$B$6,A38,"M")/12=10,S38,IF(DATEDIF(Resumen!$B$6,A38,"M")/12=15,S38*1.5,IF(DATEDIF(Resumen!$B$6,A38,"M")/12=20,S38*2,IF(DATEDIF(Resumen!$B$6,A38,"M")/12=25,S38*2.5,IF(DATEDIF(Resumen!$B$6,A38,"M")/12=30,S38*3,0))))))</f>
        <v>0</v>
      </c>
      <c r="AB38" s="19">
        <f>(IF(Resumen!$B$20="Sí",IF(Resumen!$C$20&lt;=A38,IF(DATEDIF(Resumen!$C$20,A38,"Y")&lt;8,VLOOKUP(YEAR(A38),Resumen!$O$7:$P$12,2,0),0),0),0))+(IF(Resumen!$B$21="Sí",IF(Resumen!$C$21&lt;=A38,IF(DATEDIF(Resumen!$C$21,A38,"Y")&lt;8,VLOOKUP(YEAR(A38),Resumen!$O$7:$P$12,2,0),0),0),0))</f>
        <v>0</v>
      </c>
      <c r="AC38" s="1">
        <f>IF(MONTH(A38)=12,VLOOKUP(YEAR(A38),Resumen!$O$7:$P$12,2,0),0)</f>
        <v>400</v>
      </c>
      <c r="AD38" s="1">
        <f t="shared" si="29"/>
        <v>100</v>
      </c>
      <c r="AE38" s="19">
        <f>(IF(Resumen!$B$25="Sí",IF(DATE(YEAR(Resumen!$C$25),MONTH(Resumen!$C$25),1)=A38,1000,0)+(IF(Resumen!$B$26="Sí",IF(DATE(YEAR(Resumen!$C$26),MONTH(Resumen!$C$26),1)=A38,1000,0),0)),0))</f>
        <v>0</v>
      </c>
      <c r="AF38" s="1">
        <v>0</v>
      </c>
      <c r="AG38" s="1">
        <v>0</v>
      </c>
      <c r="AH38" s="19">
        <v>130</v>
      </c>
      <c r="AI38" s="1">
        <f>IF(MONTH(A38)=1,(VLOOKUP(YEAR(A38),Resumen!$O$7:$P$12,2,0))*3,0)</f>
        <v>0</v>
      </c>
      <c r="AJ38" s="19">
        <f>IF(MONTH(A38)=12,(15+DATEDIF(Resumen!$B$6,A38,"y"))*50,0)</f>
        <v>1250</v>
      </c>
      <c r="AK38" s="5">
        <f>IF(Resumen!$B$13="No",IF(Resumen!$B$12="No",20,100),0)</f>
        <v>20</v>
      </c>
      <c r="AL38" s="1">
        <f>IF(Resumen!$B$14="Código",(S38+T38+U38+Y38)*9.45%*-1,(S38+T38+U38+Y38)*11.45%*-1)</f>
        <v>-259.50279999999998</v>
      </c>
      <c r="AN38" s="3">
        <f t="shared" si="30"/>
        <v>300</v>
      </c>
      <c r="AO38" s="4">
        <f t="shared" si="31"/>
        <v>0</v>
      </c>
      <c r="AP38" s="4">
        <f t="shared" si="32"/>
        <v>20</v>
      </c>
      <c r="AQ38" s="4">
        <f t="shared" si="33"/>
        <v>78.36</v>
      </c>
      <c r="AR38" s="4">
        <f t="shared" si="34"/>
        <v>78.319999999999993</v>
      </c>
      <c r="AS38" s="4">
        <f t="shared" si="35"/>
        <v>620.27</v>
      </c>
      <c r="AT38" s="4">
        <f t="shared" si="36"/>
        <v>24</v>
      </c>
      <c r="AU38" s="4">
        <f t="shared" si="37"/>
        <v>50</v>
      </c>
      <c r="AV38" s="6">
        <f t="shared" si="38"/>
        <v>400</v>
      </c>
      <c r="AW38" s="6">
        <f t="shared" si="39"/>
        <v>100</v>
      </c>
      <c r="AX38" s="6">
        <f t="shared" si="40"/>
        <v>0</v>
      </c>
      <c r="AY38" s="6">
        <f t="shared" si="22"/>
        <v>130</v>
      </c>
      <c r="AZ38" s="6">
        <f t="shared" si="41"/>
        <v>20</v>
      </c>
      <c r="BA38" s="6">
        <f t="shared" si="23"/>
        <v>0</v>
      </c>
      <c r="BB38" s="6">
        <f t="shared" si="24"/>
        <v>0</v>
      </c>
      <c r="BC38" s="6">
        <f t="shared" si="25"/>
        <v>1250</v>
      </c>
      <c r="BD38" s="6">
        <f t="shared" si="42"/>
        <v>-107.66091500000002</v>
      </c>
      <c r="BF38" s="3">
        <f t="shared" si="26"/>
        <v>2963.2890849999999</v>
      </c>
      <c r="BG38" s="3">
        <f ca="1">BF38*Resumen!$P$14*((TODAY()-(A38+30))/360)</f>
        <v>591.49884171342217</v>
      </c>
    </row>
    <row r="39" spans="1:59" x14ac:dyDescent="0.25">
      <c r="A39" s="7">
        <v>44197</v>
      </c>
      <c r="B39" s="9">
        <f>IF(Resumen!$B$14="Código",IF(A39&lt;DATE(2021,7,1),Resumen!$B$7,Resumen!$B$7+300),IF(A39&lt;DATE(2022,3,1),Resumen!$B$7,Resumen!$B$7+300))</f>
        <v>1212</v>
      </c>
      <c r="C39" s="77">
        <v>0</v>
      </c>
      <c r="D39" s="77">
        <v>0</v>
      </c>
      <c r="E39" s="4">
        <f t="shared" si="14"/>
        <v>0</v>
      </c>
      <c r="F39" s="4">
        <f t="shared" si="15"/>
        <v>0</v>
      </c>
      <c r="G39" s="4">
        <f>IF(Resumen!$B$14="Código",IF(A39&lt;DATE(2021,7,1),(Resumen!$B$7*0.25%)*DATEDIF("1/1/2009",A39,"y"),IF(Resumen!$B$9="Sí",(((B39*0.03)+(VLOOKUP(YEAR(A39),Resumen!$O$7:$P$12,2,0)*0.05))*DATEDIF(MAX("1/5/2008",Resumen!$B$6),A39,"y")),(((B39*0.03)+(VLOOKUP(YEAR(A39),Resumen!$O$7:$P$12,2,0)*0.05))*DATEDIF(Resumen!$B$6,A39,"y")))),IF(A39&lt;DATE(2022,3,1),(Resumen!$B$7*0.25%)*DATEDIF("1/1/2009",A39,"y"),IF(Resumen!$B$9="Sí",(((B39*0.03)+(VLOOKUP(YEAR(A39),Resumen!$O$7:$P$12,2,0)*0.05))*DATEDIF(MAX("1/5/2008",Resumen!$B$6),A39,"y")),(((B39*0.03)+(VLOOKUP(YEAR(A39),Resumen!$O$7:$P$12,2,0)*0.05))*DATEDIF(Resumen!$B$6,A39,"y")))))</f>
        <v>36.36</v>
      </c>
      <c r="H39" s="4">
        <f t="shared" si="16"/>
        <v>104.03</v>
      </c>
      <c r="I39" s="4">
        <f t="shared" si="17"/>
        <v>103.99</v>
      </c>
      <c r="J39" s="1">
        <f>IF(Resumen!$B$14="Código",IF(A39&lt;DATE(2021,7,1),0,(0.03*(VLOOKUP(YEAR(A39),Resumen!$O$7:$P$12,2,0))*Resumen!$B$8)),IF(A39&lt;DATE(2022,3,1),0,(0.03*(VLOOKUP(YEAR(A39),Resumen!$O$7:$P$12,2,0))*Resumen!$B$8)))</f>
        <v>0</v>
      </c>
      <c r="K39" s="1">
        <f>IF(Resumen!$B$14="Código",IF(A39&lt;DATE(2021,7,1),0,50),IF(A39&lt;DATE(2022,3,1),0,50))</f>
        <v>0</v>
      </c>
      <c r="L39" s="1">
        <v>0</v>
      </c>
      <c r="M39" s="1">
        <v>0</v>
      </c>
      <c r="N39" s="1">
        <v>0</v>
      </c>
      <c r="O39" s="1">
        <v>0</v>
      </c>
      <c r="P39" s="1">
        <v>0</v>
      </c>
      <c r="Q39" s="1">
        <f>IF(Resumen!$B$14="Código",(B39+E39+F39+G39)*9.45%*-1,(B39+E39+F39+G39)*11.45%*-1)</f>
        <v>-142.93721999999997</v>
      </c>
      <c r="R39" s="3"/>
      <c r="S39" s="9">
        <f t="shared" si="28"/>
        <v>1512</v>
      </c>
      <c r="T39" s="4">
        <f t="shared" si="18"/>
        <v>0</v>
      </c>
      <c r="U39" s="4">
        <f t="shared" si="19"/>
        <v>0</v>
      </c>
      <c r="V39" s="4">
        <f t="shared" si="20"/>
        <v>180.47</v>
      </c>
      <c r="W39" s="4">
        <f t="shared" si="21"/>
        <v>180.39</v>
      </c>
      <c r="X39" s="4">
        <f>(0.03*(VLOOKUP(YEAR(A39),Resumen!$O$7:$P$12,2,0))*Resumen!$B$8)</f>
        <v>24</v>
      </c>
      <c r="Y39" s="4">
        <f>(((S39*0.03)+(VLOOKUP(YEAR(A39),Resumen!$O$7:$P$12,2,0)*0.05))*DATEDIF(Resumen!$B$6,A39,"y"))</f>
        <v>653.6</v>
      </c>
      <c r="Z39" s="3">
        <v>50</v>
      </c>
      <c r="AA39" s="1">
        <f>IF(DATEDIF(Resumen!$B$6,A39,"M")/12=5,S39/2,IF(DATEDIF(Resumen!$B$6,A39,"M")/12=10,S39,IF(DATEDIF(Resumen!$B$6,A39,"M")/12=15,S39*1.5,IF(DATEDIF(Resumen!$B$6,A39,"M")/12=20,S39*2,IF(DATEDIF(Resumen!$B$6,A39,"M")/12=25,S39*2.5,IF(DATEDIF(Resumen!$B$6,A39,"M")/12=30,S39*3,0))))))</f>
        <v>0</v>
      </c>
      <c r="AB39" s="19">
        <f>(IF(Resumen!$B$20="Sí",IF(Resumen!$C$20&lt;=A39,IF(DATEDIF(Resumen!$C$20,A39,"Y")&lt;8,VLOOKUP(YEAR(A39),Resumen!$O$7:$P$12,2,0),0),0),0))+(IF(Resumen!$B$21="Sí",IF(Resumen!$C$21&lt;=A39,IF(DATEDIF(Resumen!$C$21,A39,"Y")&lt;8,VLOOKUP(YEAR(A39),Resumen!$O$7:$P$12,2,0),0),0),0))</f>
        <v>0</v>
      </c>
      <c r="AC39" s="1">
        <f>IF(MONTH(A39)=12,VLOOKUP(YEAR(A39),Resumen!$O$7:$P$12,2,0),0)</f>
        <v>0</v>
      </c>
      <c r="AD39" s="1">
        <f t="shared" si="29"/>
        <v>0</v>
      </c>
      <c r="AE39" s="19">
        <f>(IF(Resumen!$B$25="Sí",IF(DATE(YEAR(Resumen!$C$25),MONTH(Resumen!$C$25),1)=A39,1000,0)+(IF(Resumen!$B$26="Sí",IF(DATE(YEAR(Resumen!$C$26),MONTH(Resumen!$C$26),1)=A39,1000,0),0)),0))</f>
        <v>0</v>
      </c>
      <c r="AF39" s="1">
        <v>0</v>
      </c>
      <c r="AG39" s="1">
        <v>0</v>
      </c>
      <c r="AH39" s="19">
        <v>130</v>
      </c>
      <c r="AI39" s="1">
        <f>IF(MONTH(A39)=1,(VLOOKUP(YEAR(A39),Resumen!$O$7:$P$12,2,0))*3,0)</f>
        <v>1200</v>
      </c>
      <c r="AJ39" s="19">
        <f>IF(MONTH(A39)=12,(15+DATEDIF(Resumen!$B$6,A39,"y"))*50,0)</f>
        <v>0</v>
      </c>
      <c r="AK39" s="5">
        <f>IF(Resumen!$B$13="No",IF(Resumen!$B$12="No",20,100),0)</f>
        <v>20</v>
      </c>
      <c r="AL39" s="1">
        <f>IF(Resumen!$B$14="Código",(S39+T39+U39+Y39)*9.45%*-1,(S39+T39+U39+Y39)*11.45%*-1)</f>
        <v>-247.96119999999996</v>
      </c>
      <c r="AN39" s="3">
        <f t="shared" si="30"/>
        <v>300</v>
      </c>
      <c r="AO39" s="4">
        <f t="shared" si="31"/>
        <v>0</v>
      </c>
      <c r="AP39" s="4">
        <f t="shared" si="32"/>
        <v>0</v>
      </c>
      <c r="AQ39" s="4">
        <f t="shared" si="33"/>
        <v>76.44</v>
      </c>
      <c r="AR39" s="4">
        <f t="shared" si="34"/>
        <v>76.399999999999991</v>
      </c>
      <c r="AS39" s="4">
        <f t="shared" si="35"/>
        <v>617.24</v>
      </c>
      <c r="AT39" s="4">
        <f t="shared" si="36"/>
        <v>24</v>
      </c>
      <c r="AU39" s="4">
        <f t="shared" si="37"/>
        <v>50</v>
      </c>
      <c r="AV39" s="6">
        <f t="shared" si="38"/>
        <v>0</v>
      </c>
      <c r="AW39" s="6">
        <f t="shared" si="39"/>
        <v>0</v>
      </c>
      <c r="AX39" s="6">
        <f t="shared" si="40"/>
        <v>0</v>
      </c>
      <c r="AY39" s="6">
        <f t="shared" si="22"/>
        <v>130</v>
      </c>
      <c r="AZ39" s="6">
        <f t="shared" si="41"/>
        <v>20</v>
      </c>
      <c r="BA39" s="6">
        <f t="shared" si="23"/>
        <v>0</v>
      </c>
      <c r="BB39" s="6">
        <f t="shared" si="24"/>
        <v>0</v>
      </c>
      <c r="BC39" s="6">
        <f t="shared" si="25"/>
        <v>0</v>
      </c>
      <c r="BD39" s="6">
        <f t="shared" si="42"/>
        <v>-105.02397999999999</v>
      </c>
      <c r="BF39" s="3">
        <f t="shared" si="26"/>
        <v>1189.05602</v>
      </c>
      <c r="BG39" s="3">
        <f ca="1">BF39*Resumen!$P$14*((TODAY()-(A39+30))/360)</f>
        <v>228.17192319786665</v>
      </c>
    </row>
    <row r="40" spans="1:59" x14ac:dyDescent="0.25">
      <c r="A40" s="7">
        <v>44228</v>
      </c>
      <c r="B40" s="9">
        <f>IF(Resumen!$B$14="Código",IF(A40&lt;DATE(2021,7,1),Resumen!$B$7,Resumen!$B$7+300),IF(A40&lt;DATE(2022,3,1),Resumen!$B$7,Resumen!$B$7+300))</f>
        <v>1212</v>
      </c>
      <c r="C40" s="77">
        <v>0</v>
      </c>
      <c r="D40" s="77">
        <v>8</v>
      </c>
      <c r="E40" s="4">
        <f t="shared" si="14"/>
        <v>0</v>
      </c>
      <c r="F40" s="4">
        <f t="shared" si="15"/>
        <v>80.8</v>
      </c>
      <c r="G40" s="4">
        <f>IF(Resumen!$B$14="Código",IF(A40&lt;DATE(2021,7,1),(Resumen!$B$7*0.25%)*DATEDIF("1/1/2009",A40,"y"),IF(Resumen!$B$9="Sí",(((B40*0.03)+(VLOOKUP(YEAR(A40),Resumen!$O$7:$P$12,2,0)*0.05))*DATEDIF(MAX("1/5/2008",Resumen!$B$6),A40,"y")),(((B40*0.03)+(VLOOKUP(YEAR(A40),Resumen!$O$7:$P$12,2,0)*0.05))*DATEDIF(Resumen!$B$6,A40,"y")))),IF(A40&lt;DATE(2022,3,1),(Resumen!$B$7*0.25%)*DATEDIF("1/1/2009",A40,"y"),IF(Resumen!$B$9="Sí",(((B40*0.03)+(VLOOKUP(YEAR(A40),Resumen!$O$7:$P$12,2,0)*0.05))*DATEDIF(MAX("1/5/2008",Resumen!$B$6),A40,"y")),(((B40*0.03)+(VLOOKUP(YEAR(A40),Resumen!$O$7:$P$12,2,0)*0.05))*DATEDIF(Resumen!$B$6,A40,"y")))))</f>
        <v>36.36</v>
      </c>
      <c r="H40" s="4">
        <f t="shared" si="16"/>
        <v>110.76</v>
      </c>
      <c r="I40" s="4">
        <f t="shared" si="17"/>
        <v>110.72</v>
      </c>
      <c r="J40" s="1">
        <f>IF(Resumen!$B$14="Código",IF(A40&lt;DATE(2021,7,1),0,(0.03*(VLOOKUP(YEAR(A40),Resumen!$O$7:$P$12,2,0))*Resumen!$B$8)),IF(A40&lt;DATE(2022,3,1),0,(0.03*(VLOOKUP(YEAR(A40),Resumen!$O$7:$P$12,2,0))*Resumen!$B$8)))</f>
        <v>0</v>
      </c>
      <c r="K40" s="1">
        <f>IF(Resumen!$B$14="Código",IF(A40&lt;DATE(2021,7,1),0,50),IF(A40&lt;DATE(2022,3,1),0,50))</f>
        <v>0</v>
      </c>
      <c r="L40" s="1">
        <v>0</v>
      </c>
      <c r="M40" s="1">
        <v>0</v>
      </c>
      <c r="N40" s="1">
        <v>0</v>
      </c>
      <c r="O40" s="1">
        <v>0</v>
      </c>
      <c r="P40" s="1">
        <v>0</v>
      </c>
      <c r="Q40" s="1">
        <f>IF(Resumen!$B$14="Código",(B40+E40+F40+G40)*9.45%*-1,(B40+E40+F40+G40)*11.45%*-1)</f>
        <v>-152.18881999999996</v>
      </c>
      <c r="R40" s="3"/>
      <c r="S40" s="9">
        <f t="shared" si="28"/>
        <v>1512</v>
      </c>
      <c r="T40" s="4">
        <f t="shared" si="18"/>
        <v>0</v>
      </c>
      <c r="U40" s="4">
        <f t="shared" si="19"/>
        <v>100.8</v>
      </c>
      <c r="V40" s="4">
        <f t="shared" si="20"/>
        <v>194.31</v>
      </c>
      <c r="W40" s="4">
        <f t="shared" si="21"/>
        <v>194.24</v>
      </c>
      <c r="X40" s="4">
        <f>(0.03*(VLOOKUP(YEAR(A40),Resumen!$O$7:$P$12,2,0))*Resumen!$B$8)</f>
        <v>24</v>
      </c>
      <c r="Y40" s="4">
        <f>(((S40*0.03)+(VLOOKUP(YEAR(A40),Resumen!$O$7:$P$12,2,0)*0.05))*DATEDIF(Resumen!$B$6,A40,"y"))</f>
        <v>718.96</v>
      </c>
      <c r="Z40" s="3">
        <v>50</v>
      </c>
      <c r="AA40" s="1">
        <f>IF(DATEDIF(Resumen!$B$6,A40,"M")/12=5,S40/2,IF(DATEDIF(Resumen!$B$6,A40,"M")/12=10,S40,IF(DATEDIF(Resumen!$B$6,A40,"M")/12=15,S40*1.5,IF(DATEDIF(Resumen!$B$6,A40,"M")/12=20,S40*2,IF(DATEDIF(Resumen!$B$6,A40,"M")/12=25,S40*2.5,IF(DATEDIF(Resumen!$B$6,A40,"M")/12=30,S40*3,0))))))</f>
        <v>0</v>
      </c>
      <c r="AB40" s="19">
        <f>(IF(Resumen!$B$20="Sí",IF(Resumen!$C$20&lt;=A40,IF(DATEDIF(Resumen!$C$20,A40,"Y")&lt;8,VLOOKUP(YEAR(A40),Resumen!$O$7:$P$12,2,0),0),0),0))+(IF(Resumen!$B$21="Sí",IF(Resumen!$C$21&lt;=A40,IF(DATEDIF(Resumen!$C$21,A40,"Y")&lt;8,VLOOKUP(YEAR(A40),Resumen!$O$7:$P$12,2,0),0),0),0))</f>
        <v>0</v>
      </c>
      <c r="AC40" s="1">
        <f>IF(MONTH(A40)=12,VLOOKUP(YEAR(A40),Resumen!$O$7:$P$12,2,0),0)</f>
        <v>0</v>
      </c>
      <c r="AD40" s="1">
        <f t="shared" si="29"/>
        <v>0</v>
      </c>
      <c r="AE40" s="19">
        <f>(IF(Resumen!$B$25="Sí",IF(DATE(YEAR(Resumen!$C$25),MONTH(Resumen!$C$25),1)=A40,1000,0)+(IF(Resumen!$B$26="Sí",IF(DATE(YEAR(Resumen!$C$26),MONTH(Resumen!$C$26),1)=A40,1000,0),0)),0))</f>
        <v>0</v>
      </c>
      <c r="AF40" s="1">
        <v>0</v>
      </c>
      <c r="AG40" s="1">
        <v>0</v>
      </c>
      <c r="AH40" s="19">
        <v>130</v>
      </c>
      <c r="AI40" s="1">
        <f>IF(MONTH(A40)=1,(VLOOKUP(YEAR(A40),Resumen!$O$7:$P$12,2,0))*3,0)</f>
        <v>0</v>
      </c>
      <c r="AJ40" s="19">
        <f>IF(MONTH(A40)=12,(15+DATEDIF(Resumen!$B$6,A40,"y"))*50,0)</f>
        <v>0</v>
      </c>
      <c r="AK40" s="5">
        <f>IF(Resumen!$B$13="No",IF(Resumen!$B$12="No",20,100),0)</f>
        <v>20</v>
      </c>
      <c r="AL40" s="1">
        <f>IF(Resumen!$B$14="Código",(S40+T40+U40+Y40)*9.45%*-1,(S40+T40+U40+Y40)*11.45%*-1)</f>
        <v>-266.98651999999998</v>
      </c>
      <c r="AN40" s="3">
        <f t="shared" si="30"/>
        <v>300</v>
      </c>
      <c r="AO40" s="4">
        <f t="shared" si="31"/>
        <v>0</v>
      </c>
      <c r="AP40" s="4">
        <f t="shared" si="32"/>
        <v>20</v>
      </c>
      <c r="AQ40" s="4">
        <f t="shared" si="33"/>
        <v>83.55</v>
      </c>
      <c r="AR40" s="4">
        <f t="shared" si="34"/>
        <v>83.52000000000001</v>
      </c>
      <c r="AS40" s="4">
        <f t="shared" si="35"/>
        <v>682.6</v>
      </c>
      <c r="AT40" s="4">
        <f t="shared" si="36"/>
        <v>24</v>
      </c>
      <c r="AU40" s="4">
        <f t="shared" si="37"/>
        <v>50</v>
      </c>
      <c r="AV40" s="6">
        <f t="shared" si="38"/>
        <v>0</v>
      </c>
      <c r="AW40" s="6">
        <f t="shared" si="39"/>
        <v>0</v>
      </c>
      <c r="AX40" s="6">
        <f t="shared" si="40"/>
        <v>0</v>
      </c>
      <c r="AY40" s="6">
        <f t="shared" si="22"/>
        <v>130</v>
      </c>
      <c r="AZ40" s="6">
        <f t="shared" si="41"/>
        <v>20</v>
      </c>
      <c r="BA40" s="6">
        <f t="shared" si="23"/>
        <v>0</v>
      </c>
      <c r="BB40" s="6">
        <f t="shared" si="24"/>
        <v>0</v>
      </c>
      <c r="BC40" s="6">
        <f t="shared" si="25"/>
        <v>0</v>
      </c>
      <c r="BD40" s="6">
        <f t="shared" si="42"/>
        <v>-114.79770000000002</v>
      </c>
      <c r="BF40" s="3">
        <f t="shared" si="26"/>
        <v>1278.8723</v>
      </c>
      <c r="BG40" s="3">
        <f ca="1">BF40*Resumen!$P$14*((TODAY()-(A40+30))/360)</f>
        <v>235.53985827555553</v>
      </c>
    </row>
    <row r="41" spans="1:59" x14ac:dyDescent="0.25">
      <c r="A41" s="7">
        <v>44256</v>
      </c>
      <c r="B41" s="9">
        <f>IF(Resumen!$B$14="Código",IF(A41&lt;DATE(2021,7,1),Resumen!$B$7,Resumen!$B$7+300),IF(A41&lt;DATE(2022,3,1),Resumen!$B$7,Resumen!$B$7+300))</f>
        <v>1212</v>
      </c>
      <c r="C41" s="77">
        <v>0</v>
      </c>
      <c r="D41" s="77">
        <v>0</v>
      </c>
      <c r="E41" s="4">
        <f t="shared" si="14"/>
        <v>0</v>
      </c>
      <c r="F41" s="4">
        <f t="shared" si="15"/>
        <v>0</v>
      </c>
      <c r="G41" s="4">
        <f>IF(Resumen!$B$14="Código",IF(A41&lt;DATE(2021,7,1),(Resumen!$B$7*0.25%)*DATEDIF("1/1/2009",A41,"y"),IF(Resumen!$B$9="Sí",(((B41*0.03)+(VLOOKUP(YEAR(A41),Resumen!$O$7:$P$12,2,0)*0.05))*DATEDIF(MAX("1/5/2008",Resumen!$B$6),A41,"y")),(((B41*0.03)+(VLOOKUP(YEAR(A41),Resumen!$O$7:$P$12,2,0)*0.05))*DATEDIF(Resumen!$B$6,A41,"y")))),IF(A41&lt;DATE(2022,3,1),(Resumen!$B$7*0.25%)*DATEDIF("1/1/2009",A41,"y"),IF(Resumen!$B$9="Sí",(((B41*0.03)+(VLOOKUP(YEAR(A41),Resumen!$O$7:$P$12,2,0)*0.05))*DATEDIF(MAX("1/5/2008",Resumen!$B$6),A41,"y")),(((B41*0.03)+(VLOOKUP(YEAR(A41),Resumen!$O$7:$P$12,2,0)*0.05))*DATEDIF(Resumen!$B$6,A41,"y")))))</f>
        <v>36.36</v>
      </c>
      <c r="H41" s="4">
        <f t="shared" si="16"/>
        <v>104.03</v>
      </c>
      <c r="I41" s="4">
        <f t="shared" si="17"/>
        <v>103.99</v>
      </c>
      <c r="J41" s="1">
        <f>IF(Resumen!$B$14="Código",IF(A41&lt;DATE(2021,7,1),0,(0.03*(VLOOKUP(YEAR(A41),Resumen!$O$7:$P$12,2,0))*Resumen!$B$8)),IF(A41&lt;DATE(2022,3,1),0,(0.03*(VLOOKUP(YEAR(A41),Resumen!$O$7:$P$12,2,0))*Resumen!$B$8)))</f>
        <v>0</v>
      </c>
      <c r="K41" s="1">
        <f>IF(Resumen!$B$14="Código",IF(A41&lt;DATE(2021,7,1),0,50),IF(A41&lt;DATE(2022,3,1),0,50))</f>
        <v>0</v>
      </c>
      <c r="L41" s="1">
        <v>0</v>
      </c>
      <c r="M41" s="1">
        <v>0</v>
      </c>
      <c r="N41" s="1">
        <v>0</v>
      </c>
      <c r="O41" s="1">
        <v>0</v>
      </c>
      <c r="P41" s="1">
        <v>0</v>
      </c>
      <c r="Q41" s="1">
        <f>IF(Resumen!$B$14="Código",(B41+E41+F41+G41)*9.45%*-1,(B41+E41+F41+G41)*11.45%*-1)</f>
        <v>-142.93721999999997</v>
      </c>
      <c r="R41" s="3"/>
      <c r="S41" s="9">
        <f t="shared" si="28"/>
        <v>1512</v>
      </c>
      <c r="T41" s="4">
        <f t="shared" si="18"/>
        <v>0</v>
      </c>
      <c r="U41" s="4">
        <f t="shared" si="19"/>
        <v>0</v>
      </c>
      <c r="V41" s="4">
        <f t="shared" si="20"/>
        <v>185.91</v>
      </c>
      <c r="W41" s="4">
        <f t="shared" si="21"/>
        <v>185.84</v>
      </c>
      <c r="X41" s="4">
        <f>(0.03*(VLOOKUP(YEAR(A41),Resumen!$O$7:$P$12,2,0))*Resumen!$B$8)</f>
        <v>24</v>
      </c>
      <c r="Y41" s="4">
        <f>(((S41*0.03)+(VLOOKUP(YEAR(A41),Resumen!$O$7:$P$12,2,0)*0.05))*DATEDIF(Resumen!$B$6,A41,"y"))</f>
        <v>718.96</v>
      </c>
      <c r="Z41" s="3">
        <v>50</v>
      </c>
      <c r="AA41" s="1">
        <f>IF(DATEDIF(Resumen!$B$6,A41,"M")/12=5,S41/2,IF(DATEDIF(Resumen!$B$6,A41,"M")/12=10,S41,IF(DATEDIF(Resumen!$B$6,A41,"M")/12=15,S41*1.5,IF(DATEDIF(Resumen!$B$6,A41,"M")/12=20,S41*2,IF(DATEDIF(Resumen!$B$6,A41,"M")/12=25,S41*2.5,IF(DATEDIF(Resumen!$B$6,A41,"M")/12=30,S41*3,0))))))</f>
        <v>0</v>
      </c>
      <c r="AB41" s="19">
        <f>(IF(Resumen!$B$20="Sí",IF(Resumen!$C$20&lt;=A41,IF(DATEDIF(Resumen!$C$20,A41,"Y")&lt;8,VLOOKUP(YEAR(A41),Resumen!$O$7:$P$12,2,0),0),0),0))+(IF(Resumen!$B$21="Sí",IF(Resumen!$C$21&lt;=A41,IF(DATEDIF(Resumen!$C$21,A41,"Y")&lt;8,VLOOKUP(YEAR(A41),Resumen!$O$7:$P$12,2,0),0),0),0))</f>
        <v>0</v>
      </c>
      <c r="AC41" s="1">
        <f>IF(MONTH(A41)=12,VLOOKUP(YEAR(A41),Resumen!$O$7:$P$12,2,0),0)</f>
        <v>0</v>
      </c>
      <c r="AD41" s="1">
        <f t="shared" si="29"/>
        <v>0</v>
      </c>
      <c r="AE41" s="19">
        <f>(IF(Resumen!$B$25="Sí",IF(DATE(YEAR(Resumen!$C$25),MONTH(Resumen!$C$25),1)=A41,1000,0)+(IF(Resumen!$B$26="Sí",IF(DATE(YEAR(Resumen!$C$26),MONTH(Resumen!$C$26),1)=A41,1000,0),0)),0))</f>
        <v>0</v>
      </c>
      <c r="AF41" s="1">
        <v>0</v>
      </c>
      <c r="AG41" s="1">
        <v>0</v>
      </c>
      <c r="AH41" s="19">
        <v>130</v>
      </c>
      <c r="AI41" s="1">
        <f>IF(MONTH(A41)=1,(VLOOKUP(YEAR(A41),Resumen!$O$7:$P$12,2,0))*3,0)</f>
        <v>0</v>
      </c>
      <c r="AJ41" s="19">
        <f>IF(MONTH(A41)=12,(15+DATEDIF(Resumen!$B$6,A41,"y"))*50,0)</f>
        <v>0</v>
      </c>
      <c r="AK41" s="5">
        <f>IF(Resumen!$B$13="No",IF(Resumen!$B$12="No",20,100),0)</f>
        <v>20</v>
      </c>
      <c r="AL41" s="1">
        <f>IF(Resumen!$B$14="Código",(S41+T41+U41+Y41)*9.45%*-1,(S41+T41+U41+Y41)*11.45%*-1)</f>
        <v>-255.44492</v>
      </c>
      <c r="AN41" s="3">
        <f t="shared" si="30"/>
        <v>300</v>
      </c>
      <c r="AO41" s="4">
        <f t="shared" si="31"/>
        <v>0</v>
      </c>
      <c r="AP41" s="4">
        <f t="shared" si="32"/>
        <v>0</v>
      </c>
      <c r="AQ41" s="4">
        <f t="shared" si="33"/>
        <v>81.88</v>
      </c>
      <c r="AR41" s="4">
        <f t="shared" si="34"/>
        <v>81.850000000000009</v>
      </c>
      <c r="AS41" s="4">
        <f t="shared" si="35"/>
        <v>682.6</v>
      </c>
      <c r="AT41" s="4">
        <f t="shared" si="36"/>
        <v>24</v>
      </c>
      <c r="AU41" s="4">
        <f t="shared" si="37"/>
        <v>50</v>
      </c>
      <c r="AV41" s="6">
        <f t="shared" si="38"/>
        <v>0</v>
      </c>
      <c r="AW41" s="6">
        <f t="shared" si="39"/>
        <v>0</v>
      </c>
      <c r="AX41" s="6">
        <f t="shared" si="40"/>
        <v>0</v>
      </c>
      <c r="AY41" s="6">
        <f t="shared" si="22"/>
        <v>130</v>
      </c>
      <c r="AZ41" s="6">
        <f t="shared" si="41"/>
        <v>20</v>
      </c>
      <c r="BA41" s="6">
        <f t="shared" si="23"/>
        <v>0</v>
      </c>
      <c r="BB41" s="6">
        <f t="shared" si="24"/>
        <v>0</v>
      </c>
      <c r="BC41" s="6">
        <f t="shared" si="25"/>
        <v>0</v>
      </c>
      <c r="BD41" s="6">
        <f t="shared" si="42"/>
        <v>-112.50770000000003</v>
      </c>
      <c r="BF41" s="3">
        <f t="shared" si="26"/>
        <v>1257.8222999999998</v>
      </c>
      <c r="BG41" s="3">
        <f ca="1">BF41*Resumen!$P$14*((TODAY()-(A41+30))/360)</f>
        <v>222.89729220266665</v>
      </c>
    </row>
    <row r="42" spans="1:59" x14ac:dyDescent="0.25">
      <c r="A42" s="7">
        <v>44287</v>
      </c>
      <c r="B42" s="9">
        <f>IF(Resumen!$B$14="Código",IF(A42&lt;DATE(2021,7,1),Resumen!$B$7,Resumen!$B$7+300),IF(A42&lt;DATE(2022,3,1),Resumen!$B$7,Resumen!$B$7+300))</f>
        <v>1212</v>
      </c>
      <c r="C42" s="77">
        <v>0</v>
      </c>
      <c r="D42" s="77">
        <v>0</v>
      </c>
      <c r="E42" s="4">
        <f t="shared" si="14"/>
        <v>0</v>
      </c>
      <c r="F42" s="4">
        <f t="shared" si="15"/>
        <v>0</v>
      </c>
      <c r="G42" s="4">
        <f>IF(Resumen!$B$14="Código",IF(A42&lt;DATE(2021,7,1),(Resumen!$B$7*0.25%)*DATEDIF("1/1/2009",A42,"y"),IF(Resumen!$B$9="Sí",(((B42*0.03)+(VLOOKUP(YEAR(A42),Resumen!$O$7:$P$12,2,0)*0.05))*DATEDIF(MAX("1/5/2008",Resumen!$B$6),A42,"y")),(((B42*0.03)+(VLOOKUP(YEAR(A42),Resumen!$O$7:$P$12,2,0)*0.05))*DATEDIF(Resumen!$B$6,A42,"y")))),IF(A42&lt;DATE(2022,3,1),(Resumen!$B$7*0.25%)*DATEDIF("1/1/2009",A42,"y"),IF(Resumen!$B$9="Sí",(((B42*0.03)+(VLOOKUP(YEAR(A42),Resumen!$O$7:$P$12,2,0)*0.05))*DATEDIF(MAX("1/5/2008",Resumen!$B$6),A42,"y")),(((B42*0.03)+(VLOOKUP(YEAR(A42),Resumen!$O$7:$P$12,2,0)*0.05))*DATEDIF(Resumen!$B$6,A42,"y")))))</f>
        <v>36.36</v>
      </c>
      <c r="H42" s="4">
        <f t="shared" si="16"/>
        <v>104.03</v>
      </c>
      <c r="I42" s="4">
        <f t="shared" si="17"/>
        <v>103.99</v>
      </c>
      <c r="J42" s="1">
        <f>IF(Resumen!$B$14="Código",IF(A42&lt;DATE(2021,7,1),0,(0.03*(VLOOKUP(YEAR(A42),Resumen!$O$7:$P$12,2,0))*Resumen!$B$8)),IF(A42&lt;DATE(2022,3,1),0,(0.03*(VLOOKUP(YEAR(A42),Resumen!$O$7:$P$12,2,0))*Resumen!$B$8)))</f>
        <v>0</v>
      </c>
      <c r="K42" s="1">
        <f>IF(Resumen!$B$14="Código",IF(A42&lt;DATE(2021,7,1),0,50),IF(A42&lt;DATE(2022,3,1),0,50))</f>
        <v>0</v>
      </c>
      <c r="L42" s="1">
        <v>0</v>
      </c>
      <c r="M42" s="1">
        <v>0</v>
      </c>
      <c r="N42" s="1">
        <v>0</v>
      </c>
      <c r="O42" s="1">
        <v>0</v>
      </c>
      <c r="P42" s="1">
        <v>0</v>
      </c>
      <c r="Q42" s="1">
        <f>IF(Resumen!$B$14="Código",(B42+E42+F42+G42)*9.45%*-1,(B42+E42+F42+G42)*11.45%*-1)</f>
        <v>-142.93721999999997</v>
      </c>
      <c r="R42" s="3"/>
      <c r="S42" s="9">
        <f t="shared" si="28"/>
        <v>1512</v>
      </c>
      <c r="T42" s="4">
        <f t="shared" si="18"/>
        <v>0</v>
      </c>
      <c r="U42" s="4">
        <f t="shared" si="19"/>
        <v>0</v>
      </c>
      <c r="V42" s="4">
        <f t="shared" si="20"/>
        <v>185.91</v>
      </c>
      <c r="W42" s="4">
        <f t="shared" si="21"/>
        <v>185.84</v>
      </c>
      <c r="X42" s="4">
        <f>(0.03*(VLOOKUP(YEAR(A42),Resumen!$O$7:$P$12,2,0))*Resumen!$B$8)</f>
        <v>24</v>
      </c>
      <c r="Y42" s="4">
        <f>(((S42*0.03)+(VLOOKUP(YEAR(A42),Resumen!$O$7:$P$12,2,0)*0.05))*DATEDIF(Resumen!$B$6,A42,"y"))</f>
        <v>718.96</v>
      </c>
      <c r="Z42" s="3">
        <v>50</v>
      </c>
      <c r="AA42" s="1">
        <f>IF(DATEDIF(Resumen!$B$6,A42,"M")/12=5,S42/2,IF(DATEDIF(Resumen!$B$6,A42,"M")/12=10,S42,IF(DATEDIF(Resumen!$B$6,A42,"M")/12=15,S42*1.5,IF(DATEDIF(Resumen!$B$6,A42,"M")/12=20,S42*2,IF(DATEDIF(Resumen!$B$6,A42,"M")/12=25,S42*2.5,IF(DATEDIF(Resumen!$B$6,A42,"M")/12=30,S42*3,0))))))</f>
        <v>0</v>
      </c>
      <c r="AB42" s="19">
        <f>(IF(Resumen!$B$20="Sí",IF(Resumen!$C$20&lt;=A42,IF(DATEDIF(Resumen!$C$20,A42,"Y")&lt;8,VLOOKUP(YEAR(A42),Resumen!$O$7:$P$12,2,0),0),0),0))+(IF(Resumen!$B$21="Sí",IF(Resumen!$C$21&lt;=A42,IF(DATEDIF(Resumen!$C$21,A42,"Y")&lt;8,VLOOKUP(YEAR(A42),Resumen!$O$7:$P$12,2,0),0),0),0))</f>
        <v>0</v>
      </c>
      <c r="AC42" s="1">
        <f>IF(MONTH(A42)=12,VLOOKUP(YEAR(A42),Resumen!$O$7:$P$12,2,0),0)</f>
        <v>0</v>
      </c>
      <c r="AD42" s="1">
        <f t="shared" si="29"/>
        <v>0</v>
      </c>
      <c r="AE42" s="19">
        <f>(IF(Resumen!$B$25="Sí",IF(DATE(YEAR(Resumen!$C$25),MONTH(Resumen!$C$25),1)=A42,1000,0)+(IF(Resumen!$B$26="Sí",IF(DATE(YEAR(Resumen!$C$26),MONTH(Resumen!$C$26),1)=A42,1000,0),0)),0))</f>
        <v>0</v>
      </c>
      <c r="AF42" s="1">
        <v>0</v>
      </c>
      <c r="AG42" s="1">
        <v>0</v>
      </c>
      <c r="AH42" s="19">
        <v>130</v>
      </c>
      <c r="AI42" s="1">
        <f>IF(MONTH(A42)=1,(VLOOKUP(YEAR(A42),Resumen!$O$7:$P$12,2,0))*3,0)</f>
        <v>0</v>
      </c>
      <c r="AJ42" s="19">
        <f>IF(MONTH(A42)=12,(15+DATEDIF(Resumen!$B$6,A42,"y"))*50,0)</f>
        <v>0</v>
      </c>
      <c r="AK42" s="5">
        <f>IF(Resumen!$B$13="No",IF(Resumen!$B$12="No",20,100),0)</f>
        <v>20</v>
      </c>
      <c r="AL42" s="1">
        <f>IF(Resumen!$B$14="Código",(S42+T42+U42+Y42)*9.45%*-1,(S42+T42+U42+Y42)*11.45%*-1)</f>
        <v>-255.44492</v>
      </c>
      <c r="AN42" s="3">
        <f t="shared" si="30"/>
        <v>300</v>
      </c>
      <c r="AO42" s="4">
        <f t="shared" si="31"/>
        <v>0</v>
      </c>
      <c r="AP42" s="4">
        <f t="shared" si="32"/>
        <v>0</v>
      </c>
      <c r="AQ42" s="4">
        <f t="shared" si="33"/>
        <v>81.88</v>
      </c>
      <c r="AR42" s="4">
        <f t="shared" si="34"/>
        <v>81.850000000000009</v>
      </c>
      <c r="AS42" s="4">
        <f t="shared" si="35"/>
        <v>682.6</v>
      </c>
      <c r="AT42" s="4">
        <f t="shared" si="36"/>
        <v>24</v>
      </c>
      <c r="AU42" s="4">
        <f t="shared" si="37"/>
        <v>50</v>
      </c>
      <c r="AV42" s="6">
        <f t="shared" si="38"/>
        <v>0</v>
      </c>
      <c r="AW42" s="6">
        <f t="shared" si="39"/>
        <v>0</v>
      </c>
      <c r="AX42" s="6">
        <f t="shared" si="40"/>
        <v>0</v>
      </c>
      <c r="AY42" s="6">
        <f t="shared" si="22"/>
        <v>130</v>
      </c>
      <c r="AZ42" s="6">
        <f t="shared" si="41"/>
        <v>20</v>
      </c>
      <c r="BA42" s="6">
        <f t="shared" si="23"/>
        <v>0</v>
      </c>
      <c r="BB42" s="6">
        <f t="shared" si="24"/>
        <v>0</v>
      </c>
      <c r="BC42" s="6">
        <f t="shared" si="25"/>
        <v>0</v>
      </c>
      <c r="BD42" s="6">
        <f t="shared" si="42"/>
        <v>-112.50770000000003</v>
      </c>
      <c r="BF42" s="3">
        <f t="shared" si="26"/>
        <v>1257.8222999999998</v>
      </c>
      <c r="BG42" s="3">
        <f ca="1">BF42*Resumen!$P$14*((TODAY()-(A42+30))/360)</f>
        <v>213.19249436799996</v>
      </c>
    </row>
    <row r="43" spans="1:59" x14ac:dyDescent="0.25">
      <c r="A43" s="7">
        <v>44317</v>
      </c>
      <c r="B43" s="9">
        <f>IF(Resumen!$B$14="Código",IF(A43&lt;DATE(2021,7,1),Resumen!$B$7,Resumen!$B$7+300),IF(A43&lt;DATE(2022,3,1),Resumen!$B$7,Resumen!$B$7+300))</f>
        <v>1212</v>
      </c>
      <c r="C43" s="77">
        <v>0</v>
      </c>
      <c r="D43" s="77">
        <v>0</v>
      </c>
      <c r="E43" s="4">
        <f t="shared" si="14"/>
        <v>0</v>
      </c>
      <c r="F43" s="4">
        <f t="shared" si="15"/>
        <v>0</v>
      </c>
      <c r="G43" s="4">
        <f>IF(Resumen!$B$14="Código",IF(A43&lt;DATE(2021,7,1),(Resumen!$B$7*0.25%)*DATEDIF("1/1/2009",A43,"y"),IF(Resumen!$B$9="Sí",(((B43*0.03)+(VLOOKUP(YEAR(A43),Resumen!$O$7:$P$12,2,0)*0.05))*DATEDIF(MAX("1/5/2008",Resumen!$B$6),A43,"y")),(((B43*0.03)+(VLOOKUP(YEAR(A43),Resumen!$O$7:$P$12,2,0)*0.05))*DATEDIF(Resumen!$B$6,A43,"y")))),IF(A43&lt;DATE(2022,3,1),(Resumen!$B$7*0.25%)*DATEDIF("1/1/2009",A43,"y"),IF(Resumen!$B$9="Sí",(((B43*0.03)+(VLOOKUP(YEAR(A43),Resumen!$O$7:$P$12,2,0)*0.05))*DATEDIF(MAX("1/5/2008",Resumen!$B$6),A43,"y")),(((B43*0.03)+(VLOOKUP(YEAR(A43),Resumen!$O$7:$P$12,2,0)*0.05))*DATEDIF(Resumen!$B$6,A43,"y")))))</f>
        <v>36.36</v>
      </c>
      <c r="H43" s="4">
        <f t="shared" si="16"/>
        <v>104.03</v>
      </c>
      <c r="I43" s="4">
        <f t="shared" si="17"/>
        <v>103.99</v>
      </c>
      <c r="J43" s="1">
        <f>IF(Resumen!$B$14="Código",IF(A43&lt;DATE(2021,7,1),0,(0.03*(VLOOKUP(YEAR(A43),Resumen!$O$7:$P$12,2,0))*Resumen!$B$8)),IF(A43&lt;DATE(2022,3,1),0,(0.03*(VLOOKUP(YEAR(A43),Resumen!$O$7:$P$12,2,0))*Resumen!$B$8)))</f>
        <v>0</v>
      </c>
      <c r="K43" s="1">
        <f>IF(Resumen!$B$14="Código",IF(A43&lt;DATE(2021,7,1),0,50),IF(A43&lt;DATE(2022,3,1),0,50))</f>
        <v>0</v>
      </c>
      <c r="L43" s="1">
        <v>0</v>
      </c>
      <c r="M43" s="1">
        <v>0</v>
      </c>
      <c r="N43" s="1">
        <v>0</v>
      </c>
      <c r="O43" s="1">
        <v>0</v>
      </c>
      <c r="P43" s="1">
        <v>0</v>
      </c>
      <c r="Q43" s="1">
        <f>IF(Resumen!$B$14="Código",(B43+E43+F43+G43)*9.45%*-1,(B43+E43+F43+G43)*11.45%*-1)</f>
        <v>-142.93721999999997</v>
      </c>
      <c r="R43" s="3"/>
      <c r="S43" s="9">
        <f t="shared" si="28"/>
        <v>1512</v>
      </c>
      <c r="T43" s="4">
        <f t="shared" si="18"/>
        <v>0</v>
      </c>
      <c r="U43" s="4">
        <f t="shared" si="19"/>
        <v>0</v>
      </c>
      <c r="V43" s="4">
        <f t="shared" si="20"/>
        <v>185.91</v>
      </c>
      <c r="W43" s="4">
        <f t="shared" si="21"/>
        <v>185.84</v>
      </c>
      <c r="X43" s="4">
        <f>(0.03*(VLOOKUP(YEAR(A43),Resumen!$O$7:$P$12,2,0))*Resumen!$B$8)</f>
        <v>24</v>
      </c>
      <c r="Y43" s="4">
        <f>(((S43*0.03)+(VLOOKUP(YEAR(A43),Resumen!$O$7:$P$12,2,0)*0.05))*DATEDIF(Resumen!$B$6,A43,"y"))</f>
        <v>718.96</v>
      </c>
      <c r="Z43" s="3">
        <v>50</v>
      </c>
      <c r="AA43" s="1">
        <f>IF(DATEDIF(Resumen!$B$6,A43,"M")/12=5,S43/2,IF(DATEDIF(Resumen!$B$6,A43,"M")/12=10,S43,IF(DATEDIF(Resumen!$B$6,A43,"M")/12=15,S43*1.5,IF(DATEDIF(Resumen!$B$6,A43,"M")/12=20,S43*2,IF(DATEDIF(Resumen!$B$6,A43,"M")/12=25,S43*2.5,IF(DATEDIF(Resumen!$B$6,A43,"M")/12=30,S43*3,0))))))</f>
        <v>0</v>
      </c>
      <c r="AB43" s="19">
        <f>(IF(Resumen!$B$20="Sí",IF(Resumen!$C$20&lt;=A43,IF(DATEDIF(Resumen!$C$20,A43,"Y")&lt;8,VLOOKUP(YEAR(A43),Resumen!$O$7:$P$12,2,0),0),0),0))+(IF(Resumen!$B$21="Sí",IF(Resumen!$C$21&lt;=A43,IF(DATEDIF(Resumen!$C$21,A43,"Y")&lt;8,VLOOKUP(YEAR(A43),Resumen!$O$7:$P$12,2,0),0),0),0))</f>
        <v>0</v>
      </c>
      <c r="AC43" s="1">
        <f>IF(MONTH(A43)=12,VLOOKUP(YEAR(A43),Resumen!$O$7:$P$12,2,0),0)</f>
        <v>0</v>
      </c>
      <c r="AD43" s="1">
        <f t="shared" si="29"/>
        <v>0</v>
      </c>
      <c r="AE43" s="19">
        <f>(IF(Resumen!$B$25="Sí",IF(DATE(YEAR(Resumen!$C$25),MONTH(Resumen!$C$25),1)=A43,1000,0)+(IF(Resumen!$B$26="Sí",IF(DATE(YEAR(Resumen!$C$26),MONTH(Resumen!$C$26),1)=A43,1000,0),0)),0))</f>
        <v>0</v>
      </c>
      <c r="AF43" s="1">
        <v>0</v>
      </c>
      <c r="AG43" s="1">
        <v>0</v>
      </c>
      <c r="AH43" s="19">
        <v>130</v>
      </c>
      <c r="AI43" s="1">
        <f>IF(MONTH(A43)=1,(VLOOKUP(YEAR(A43),Resumen!$O$7:$P$12,2,0))*3,0)</f>
        <v>0</v>
      </c>
      <c r="AJ43" s="19">
        <f>IF(MONTH(A43)=12,(15+DATEDIF(Resumen!$B$6,A43,"y"))*50,0)</f>
        <v>0</v>
      </c>
      <c r="AK43" s="5">
        <f>IF(Resumen!$B$13="No",IF(Resumen!$B$12="No",20,100),0)</f>
        <v>20</v>
      </c>
      <c r="AL43" s="1">
        <f>IF(Resumen!$B$14="Código",(S43+T43+U43+Y43)*9.45%*-1,(S43+T43+U43+Y43)*11.45%*-1)</f>
        <v>-255.44492</v>
      </c>
      <c r="AN43" s="3">
        <f t="shared" si="30"/>
        <v>300</v>
      </c>
      <c r="AO43" s="4">
        <f t="shared" si="31"/>
        <v>0</v>
      </c>
      <c r="AP43" s="4">
        <f t="shared" si="32"/>
        <v>0</v>
      </c>
      <c r="AQ43" s="4">
        <f t="shared" si="33"/>
        <v>81.88</v>
      </c>
      <c r="AR43" s="4">
        <f t="shared" si="34"/>
        <v>81.850000000000009</v>
      </c>
      <c r="AS43" s="4">
        <f t="shared" si="35"/>
        <v>682.6</v>
      </c>
      <c r="AT43" s="4">
        <f t="shared" si="36"/>
        <v>24</v>
      </c>
      <c r="AU43" s="4">
        <f t="shared" si="37"/>
        <v>50</v>
      </c>
      <c r="AV43" s="6">
        <f t="shared" si="38"/>
        <v>0</v>
      </c>
      <c r="AW43" s="6">
        <f t="shared" si="39"/>
        <v>0</v>
      </c>
      <c r="AX43" s="6">
        <f t="shared" si="40"/>
        <v>0</v>
      </c>
      <c r="AY43" s="6">
        <f t="shared" si="22"/>
        <v>130</v>
      </c>
      <c r="AZ43" s="6">
        <f t="shared" si="41"/>
        <v>20</v>
      </c>
      <c r="BA43" s="6">
        <f t="shared" si="23"/>
        <v>0</v>
      </c>
      <c r="BB43" s="6">
        <f t="shared" si="24"/>
        <v>0</v>
      </c>
      <c r="BC43" s="6">
        <f t="shared" si="25"/>
        <v>0</v>
      </c>
      <c r="BD43" s="6">
        <f t="shared" si="42"/>
        <v>-112.50770000000003</v>
      </c>
      <c r="BF43" s="3">
        <f t="shared" si="26"/>
        <v>1257.8222999999998</v>
      </c>
      <c r="BG43" s="3">
        <f ca="1">BF43*Resumen!$P$14*((TODAY()-(A43+30))/360)</f>
        <v>203.80075452799997</v>
      </c>
    </row>
    <row r="44" spans="1:59" x14ac:dyDescent="0.25">
      <c r="A44" s="7">
        <v>44348</v>
      </c>
      <c r="B44" s="9">
        <f>IF(Resumen!$B$14="Código",IF(A44&lt;DATE(2021,7,1),Resumen!$B$7,Resumen!$B$7+300),IF(A44&lt;DATE(2022,3,1),Resumen!$B$7,Resumen!$B$7+300))</f>
        <v>1212</v>
      </c>
      <c r="C44" s="77">
        <v>0</v>
      </c>
      <c r="D44" s="77">
        <v>0</v>
      </c>
      <c r="E44" s="4">
        <f t="shared" si="14"/>
        <v>0</v>
      </c>
      <c r="F44" s="4">
        <f t="shared" si="15"/>
        <v>0</v>
      </c>
      <c r="G44" s="4">
        <f>IF(Resumen!$B$14="Código",IF(A44&lt;DATE(2021,7,1),(Resumen!$B$7*0.25%)*DATEDIF("1/1/2009",A44,"y"),IF(Resumen!$B$9="Sí",(((B44*0.03)+(VLOOKUP(YEAR(A44),Resumen!$O$7:$P$12,2,0)*0.05))*DATEDIF(MAX("1/5/2008",Resumen!$B$6),A44,"y")),(((B44*0.03)+(VLOOKUP(YEAR(A44),Resumen!$O$7:$P$12,2,0)*0.05))*DATEDIF(Resumen!$B$6,A44,"y")))),IF(A44&lt;DATE(2022,3,1),(Resumen!$B$7*0.25%)*DATEDIF("1/1/2009",A44,"y"),IF(Resumen!$B$9="Sí",(((B44*0.03)+(VLOOKUP(YEAR(A44),Resumen!$O$7:$P$12,2,0)*0.05))*DATEDIF(MAX("1/5/2008",Resumen!$B$6),A44,"y")),(((B44*0.03)+(VLOOKUP(YEAR(A44),Resumen!$O$7:$P$12,2,0)*0.05))*DATEDIF(Resumen!$B$6,A44,"y")))))</f>
        <v>36.36</v>
      </c>
      <c r="H44" s="4">
        <f t="shared" si="16"/>
        <v>104.03</v>
      </c>
      <c r="I44" s="4">
        <f t="shared" si="17"/>
        <v>103.99</v>
      </c>
      <c r="J44" s="1">
        <f>IF(Resumen!$B$14="Código",IF(A44&lt;DATE(2021,7,1),0,(0.03*(VLOOKUP(YEAR(A44),Resumen!$O$7:$P$12,2,0))*Resumen!$B$8)),IF(A44&lt;DATE(2022,3,1),0,(0.03*(VLOOKUP(YEAR(A44),Resumen!$O$7:$P$12,2,0))*Resumen!$B$8)))</f>
        <v>0</v>
      </c>
      <c r="K44" s="1">
        <f>IF(Resumen!$B$14="Código",IF(A44&lt;DATE(2021,7,1),0,50),IF(A44&lt;DATE(2022,3,1),0,50))</f>
        <v>0</v>
      </c>
      <c r="L44" s="1">
        <v>0</v>
      </c>
      <c r="M44" s="1">
        <v>0</v>
      </c>
      <c r="N44" s="1">
        <v>0</v>
      </c>
      <c r="O44" s="1">
        <v>0</v>
      </c>
      <c r="P44" s="1">
        <v>0</v>
      </c>
      <c r="Q44" s="1">
        <f>IF(Resumen!$B$14="Código",(B44+E44+F44+G44)*9.45%*-1,(B44+E44+F44+G44)*11.45%*-1)</f>
        <v>-142.93721999999997</v>
      </c>
      <c r="R44" s="3"/>
      <c r="S44" s="9">
        <f t="shared" si="28"/>
        <v>1512</v>
      </c>
      <c r="T44" s="4">
        <f t="shared" si="18"/>
        <v>0</v>
      </c>
      <c r="U44" s="4">
        <f t="shared" si="19"/>
        <v>0</v>
      </c>
      <c r="V44" s="4">
        <f t="shared" si="20"/>
        <v>185.91</v>
      </c>
      <c r="W44" s="4">
        <f t="shared" si="21"/>
        <v>185.84</v>
      </c>
      <c r="X44" s="4">
        <f>(0.03*(VLOOKUP(YEAR(A44),Resumen!$O$7:$P$12,2,0))*Resumen!$B$8)</f>
        <v>24</v>
      </c>
      <c r="Y44" s="4">
        <f>(((S44*0.03)+(VLOOKUP(YEAR(A44),Resumen!$O$7:$P$12,2,0)*0.05))*DATEDIF(Resumen!$B$6,A44,"y"))</f>
        <v>718.96</v>
      </c>
      <c r="Z44" s="3">
        <v>50</v>
      </c>
      <c r="AA44" s="1">
        <f>IF(DATEDIF(Resumen!$B$6,A44,"M")/12=5,S44/2,IF(DATEDIF(Resumen!$B$6,A44,"M")/12=10,S44,IF(DATEDIF(Resumen!$B$6,A44,"M")/12=15,S44*1.5,IF(DATEDIF(Resumen!$B$6,A44,"M")/12=20,S44*2,IF(DATEDIF(Resumen!$B$6,A44,"M")/12=25,S44*2.5,IF(DATEDIF(Resumen!$B$6,A44,"M")/12=30,S44*3,0))))))</f>
        <v>0</v>
      </c>
      <c r="AB44" s="19">
        <f>(IF(Resumen!$B$20="Sí",IF(Resumen!$C$20&lt;=A44,IF(DATEDIF(Resumen!$C$20,A44,"Y")&lt;8,VLOOKUP(YEAR(A44),Resumen!$O$7:$P$12,2,0),0),0),0))+(IF(Resumen!$B$21="Sí",IF(Resumen!$C$21&lt;=A44,IF(DATEDIF(Resumen!$C$21,A44,"Y")&lt;8,VLOOKUP(YEAR(A44),Resumen!$O$7:$P$12,2,0),0),0),0))</f>
        <v>0</v>
      </c>
      <c r="AC44" s="1">
        <f>IF(MONTH(A44)=12,VLOOKUP(YEAR(A44),Resumen!$O$7:$P$12,2,0),0)</f>
        <v>0</v>
      </c>
      <c r="AD44" s="1">
        <f t="shared" si="29"/>
        <v>0</v>
      </c>
      <c r="AE44" s="19">
        <f>(IF(Resumen!$B$25="Sí",IF(DATE(YEAR(Resumen!$C$25),MONTH(Resumen!$C$25),1)=A44,1000,0)+(IF(Resumen!$B$26="Sí",IF(DATE(YEAR(Resumen!$C$26),MONTH(Resumen!$C$26),1)=A44,1000,0),0)),0))</f>
        <v>0</v>
      </c>
      <c r="AF44" s="1">
        <v>0</v>
      </c>
      <c r="AG44" s="1">
        <v>0</v>
      </c>
      <c r="AH44" s="19">
        <v>130</v>
      </c>
      <c r="AI44" s="1">
        <f>IF(MONTH(A44)=1,(VLOOKUP(YEAR(A44),Resumen!$O$7:$P$12,2,0))*3,0)</f>
        <v>0</v>
      </c>
      <c r="AJ44" s="19">
        <f>IF(MONTH(A44)=12,(15+DATEDIF(Resumen!$B$6,A44,"y"))*50,0)</f>
        <v>0</v>
      </c>
      <c r="AK44" s="5">
        <f>IF(Resumen!$B$13="No",IF(Resumen!$B$12="No",20,100),0)</f>
        <v>20</v>
      </c>
      <c r="AL44" s="1">
        <f>IF(Resumen!$B$14="Código",(S44+T44+U44+Y44)*9.45%*-1,(S44+T44+U44+Y44)*11.45%*-1)</f>
        <v>-255.44492</v>
      </c>
      <c r="AN44" s="3">
        <f t="shared" si="30"/>
        <v>300</v>
      </c>
      <c r="AO44" s="4">
        <f t="shared" si="31"/>
        <v>0</v>
      </c>
      <c r="AP44" s="4">
        <f t="shared" si="32"/>
        <v>0</v>
      </c>
      <c r="AQ44" s="4">
        <f t="shared" si="33"/>
        <v>81.88</v>
      </c>
      <c r="AR44" s="4">
        <f t="shared" si="34"/>
        <v>81.850000000000009</v>
      </c>
      <c r="AS44" s="4">
        <f t="shared" si="35"/>
        <v>682.6</v>
      </c>
      <c r="AT44" s="4">
        <f t="shared" si="36"/>
        <v>24</v>
      </c>
      <c r="AU44" s="4">
        <f t="shared" si="37"/>
        <v>50</v>
      </c>
      <c r="AV44" s="6">
        <f t="shared" si="38"/>
        <v>0</v>
      </c>
      <c r="AW44" s="6">
        <f t="shared" si="39"/>
        <v>0</v>
      </c>
      <c r="AX44" s="6">
        <f t="shared" si="40"/>
        <v>0</v>
      </c>
      <c r="AY44" s="6">
        <f t="shared" si="22"/>
        <v>130</v>
      </c>
      <c r="AZ44" s="6">
        <f t="shared" si="41"/>
        <v>20</v>
      </c>
      <c r="BA44" s="6">
        <f t="shared" si="23"/>
        <v>0</v>
      </c>
      <c r="BB44" s="6">
        <f t="shared" si="24"/>
        <v>0</v>
      </c>
      <c r="BC44" s="6">
        <f t="shared" si="25"/>
        <v>0</v>
      </c>
      <c r="BD44" s="6">
        <f t="shared" si="42"/>
        <v>-112.50770000000003</v>
      </c>
      <c r="BF44" s="3">
        <f t="shared" si="26"/>
        <v>1257.8222999999998</v>
      </c>
      <c r="BG44" s="3">
        <f ca="1">BF44*Resumen!$P$14*((TODAY()-(A44+30))/360)</f>
        <v>194.09595669333331</v>
      </c>
    </row>
    <row r="45" spans="1:59" x14ac:dyDescent="0.25">
      <c r="A45" s="7">
        <v>44378</v>
      </c>
      <c r="B45" s="9">
        <f>IF(Resumen!$B$14="Código",IF(A45&lt;DATE(2021,7,1),Resumen!$B$7,Resumen!$B$7+300),IF(A45&lt;DATE(2022,3,1),Resumen!$B$7,Resumen!$B$7+300))</f>
        <v>1212</v>
      </c>
      <c r="C45" s="77">
        <v>0</v>
      </c>
      <c r="D45" s="77">
        <v>0</v>
      </c>
      <c r="E45" s="4">
        <f t="shared" si="14"/>
        <v>0</v>
      </c>
      <c r="F45" s="4">
        <f t="shared" si="15"/>
        <v>0</v>
      </c>
      <c r="G45" s="4">
        <f>IF(Resumen!$B$14="Código",IF(A45&lt;DATE(2021,7,1),(Resumen!$B$7*0.25%)*DATEDIF("1/1/2009",A45,"y"),IF(Resumen!$B$9="Sí",(((B45*0.03)+(VLOOKUP(YEAR(A45),Resumen!$O$7:$P$12,2,0)*0.05))*DATEDIF(MAX("1/5/2008",Resumen!$B$6),A45,"y")),(((B45*0.03)+(VLOOKUP(YEAR(A45),Resumen!$O$7:$P$12,2,0)*0.05))*DATEDIF(Resumen!$B$6,A45,"y")))),IF(A45&lt;DATE(2022,3,1),(Resumen!$B$7*0.25%)*DATEDIF("1/1/2009",A45,"y"),IF(Resumen!$B$9="Sí",(((B45*0.03)+(VLOOKUP(YEAR(A45),Resumen!$O$7:$P$12,2,0)*0.05))*DATEDIF(MAX("1/5/2008",Resumen!$B$6),A45,"y")),(((B45*0.03)+(VLOOKUP(YEAR(A45),Resumen!$O$7:$P$12,2,0)*0.05))*DATEDIF(Resumen!$B$6,A45,"y")))))</f>
        <v>36.36</v>
      </c>
      <c r="H45" s="4">
        <f t="shared" si="16"/>
        <v>104.03</v>
      </c>
      <c r="I45" s="4">
        <f t="shared" si="17"/>
        <v>103.99</v>
      </c>
      <c r="J45" s="1">
        <f>IF(Resumen!$B$14="Código",IF(A45&lt;DATE(2021,7,1),0,(0.03*(VLOOKUP(YEAR(A45),Resumen!$O$7:$P$12,2,0))*Resumen!$B$8)),IF(A45&lt;DATE(2022,3,1),0,(0.03*(VLOOKUP(YEAR(A45),Resumen!$O$7:$P$12,2,0))*Resumen!$B$8)))</f>
        <v>0</v>
      </c>
      <c r="K45" s="1">
        <f>IF(Resumen!$B$14="Código",IF(A45&lt;DATE(2021,7,1),0,50),IF(A45&lt;DATE(2022,3,1),0,50))</f>
        <v>0</v>
      </c>
      <c r="L45" s="1">
        <v>0</v>
      </c>
      <c r="M45" s="1">
        <v>0</v>
      </c>
      <c r="N45" s="1">
        <v>0</v>
      </c>
      <c r="O45" s="1">
        <v>0</v>
      </c>
      <c r="P45" s="1">
        <v>0</v>
      </c>
      <c r="Q45" s="1">
        <f>IF(Resumen!$B$14="Código",(B45+E45+F45+G45)*9.45%*-1,(B45+E45+F45+G45)*11.45%*-1)</f>
        <v>-142.93721999999997</v>
      </c>
      <c r="R45" s="3"/>
      <c r="S45" s="9">
        <f t="shared" si="28"/>
        <v>1512</v>
      </c>
      <c r="T45" s="4">
        <f t="shared" si="18"/>
        <v>0</v>
      </c>
      <c r="U45" s="4">
        <f t="shared" si="19"/>
        <v>0</v>
      </c>
      <c r="V45" s="4">
        <f t="shared" si="20"/>
        <v>185.91</v>
      </c>
      <c r="W45" s="4">
        <f t="shared" si="21"/>
        <v>185.84</v>
      </c>
      <c r="X45" s="4">
        <f>(0.03*(VLOOKUP(YEAR(A45),Resumen!$O$7:$P$12,2,0))*Resumen!$B$8)</f>
        <v>24</v>
      </c>
      <c r="Y45" s="4">
        <f>(((S45*0.03)+(VLOOKUP(YEAR(A45),Resumen!$O$7:$P$12,2,0)*0.05))*DATEDIF(Resumen!$B$6,A45,"y"))</f>
        <v>718.96</v>
      </c>
      <c r="Z45" s="3">
        <v>50</v>
      </c>
      <c r="AA45" s="1">
        <f>IF(DATEDIF(Resumen!$B$6,A45,"M")/12=5,S45/2,IF(DATEDIF(Resumen!$B$6,A45,"M")/12=10,S45,IF(DATEDIF(Resumen!$B$6,A45,"M")/12=15,S45*1.5,IF(DATEDIF(Resumen!$B$6,A45,"M")/12=20,S45*2,IF(DATEDIF(Resumen!$B$6,A45,"M")/12=25,S45*2.5,IF(DATEDIF(Resumen!$B$6,A45,"M")/12=30,S45*3,0))))))</f>
        <v>0</v>
      </c>
      <c r="AB45" s="19">
        <f>(IF(Resumen!$B$20="Sí",IF(Resumen!$C$20&lt;=A45,IF(DATEDIF(Resumen!$C$20,A45,"Y")&lt;8,VLOOKUP(YEAR(A45),Resumen!$O$7:$P$12,2,0),0),0),0))+(IF(Resumen!$B$21="Sí",IF(Resumen!$C$21&lt;=A45,IF(DATEDIF(Resumen!$C$21,A45,"Y")&lt;8,VLOOKUP(YEAR(A45),Resumen!$O$7:$P$12,2,0),0),0),0))</f>
        <v>0</v>
      </c>
      <c r="AC45" s="1">
        <f>IF(MONTH(A45)=12,VLOOKUP(YEAR(A45),Resumen!$O$7:$P$12,2,0),0)</f>
        <v>0</v>
      </c>
      <c r="AD45" s="1">
        <f t="shared" si="29"/>
        <v>0</v>
      </c>
      <c r="AE45" s="19">
        <f>(IF(Resumen!$B$25="Sí",IF(DATE(YEAR(Resumen!$C$25),MONTH(Resumen!$C$25),1)=A45,1000,0)+(IF(Resumen!$B$26="Sí",IF(DATE(YEAR(Resumen!$C$26),MONTH(Resumen!$C$26),1)=A45,1000,0),0)),0))</f>
        <v>0</v>
      </c>
      <c r="AF45" s="1">
        <v>0</v>
      </c>
      <c r="AG45" s="1">
        <v>0</v>
      </c>
      <c r="AH45" s="19">
        <v>130</v>
      </c>
      <c r="AI45" s="1">
        <f>IF(MONTH(A45)=1,(VLOOKUP(YEAR(A45),Resumen!$O$7:$P$12,2,0))*3,0)</f>
        <v>0</v>
      </c>
      <c r="AJ45" s="19">
        <f>IF(MONTH(A45)=12,(15+DATEDIF(Resumen!$B$6,A45,"y"))*50,0)</f>
        <v>0</v>
      </c>
      <c r="AK45" s="5">
        <f>IF(Resumen!$B$13="No",IF(Resumen!$B$12="No",20,100),0)</f>
        <v>20</v>
      </c>
      <c r="AL45" s="1">
        <f>IF(Resumen!$B$14="Código",(S45+T45+U45+Y45)*9.45%*-1,(S45+T45+U45+Y45)*11.45%*-1)</f>
        <v>-255.44492</v>
      </c>
      <c r="AN45" s="3">
        <f t="shared" si="30"/>
        <v>300</v>
      </c>
      <c r="AO45" s="4">
        <f t="shared" si="31"/>
        <v>0</v>
      </c>
      <c r="AP45" s="4">
        <f t="shared" si="32"/>
        <v>0</v>
      </c>
      <c r="AQ45" s="4">
        <f t="shared" si="33"/>
        <v>81.88</v>
      </c>
      <c r="AR45" s="4">
        <f t="shared" si="34"/>
        <v>81.850000000000009</v>
      </c>
      <c r="AS45" s="4">
        <f t="shared" si="35"/>
        <v>682.6</v>
      </c>
      <c r="AT45" s="4">
        <f t="shared" si="36"/>
        <v>24</v>
      </c>
      <c r="AU45" s="4">
        <f t="shared" si="37"/>
        <v>50</v>
      </c>
      <c r="AV45" s="6">
        <f t="shared" si="38"/>
        <v>0</v>
      </c>
      <c r="AW45" s="6">
        <f t="shared" si="39"/>
        <v>0</v>
      </c>
      <c r="AX45" s="6">
        <f t="shared" si="40"/>
        <v>0</v>
      </c>
      <c r="AY45" s="6">
        <f t="shared" si="22"/>
        <v>130</v>
      </c>
      <c r="AZ45" s="6">
        <f t="shared" si="41"/>
        <v>20</v>
      </c>
      <c r="BA45" s="6">
        <f t="shared" si="23"/>
        <v>0</v>
      </c>
      <c r="BB45" s="6">
        <f t="shared" si="24"/>
        <v>0</v>
      </c>
      <c r="BC45" s="6">
        <f t="shared" si="25"/>
        <v>0</v>
      </c>
      <c r="BD45" s="6">
        <f t="shared" si="42"/>
        <v>-112.50770000000003</v>
      </c>
      <c r="BF45" s="3">
        <f t="shared" si="26"/>
        <v>1257.8222999999998</v>
      </c>
      <c r="BG45" s="3">
        <f ca="1">BF45*Resumen!$P$14*((TODAY()-(A45+30))/360)</f>
        <v>184.70421685333329</v>
      </c>
    </row>
    <row r="46" spans="1:59" x14ac:dyDescent="0.25">
      <c r="A46" s="7">
        <v>44409</v>
      </c>
      <c r="B46" s="9">
        <f>IF(Resumen!$B$14="Código",IF(A46&lt;DATE(2021,7,1),Resumen!$B$7,Resumen!$B$7+300),IF(A46&lt;DATE(2022,3,1),Resumen!$B$7,Resumen!$B$7+300))</f>
        <v>1212</v>
      </c>
      <c r="C46" s="77">
        <v>0</v>
      </c>
      <c r="D46" s="77">
        <v>0</v>
      </c>
      <c r="E46" s="4">
        <f t="shared" si="14"/>
        <v>0</v>
      </c>
      <c r="F46" s="4">
        <f t="shared" si="15"/>
        <v>0</v>
      </c>
      <c r="G46" s="4">
        <f>IF(Resumen!$B$14="Código",IF(A46&lt;DATE(2021,7,1),(Resumen!$B$7*0.25%)*DATEDIF("1/1/2009",A46,"y"),IF(Resumen!$B$9="Sí",(((B46*0.03)+(VLOOKUP(YEAR(A46),Resumen!$O$7:$P$12,2,0)*0.05))*DATEDIF(MAX("1/5/2008",Resumen!$B$6),A46,"y")),(((B46*0.03)+(VLOOKUP(YEAR(A46),Resumen!$O$7:$P$12,2,0)*0.05))*DATEDIF(Resumen!$B$6,A46,"y")))),IF(A46&lt;DATE(2022,3,1),(Resumen!$B$7*0.25%)*DATEDIF("1/1/2009",A46,"y"),IF(Resumen!$B$9="Sí",(((B46*0.03)+(VLOOKUP(YEAR(A46),Resumen!$O$7:$P$12,2,0)*0.05))*DATEDIF(MAX("1/5/2008",Resumen!$B$6),A46,"y")),(((B46*0.03)+(VLOOKUP(YEAR(A46),Resumen!$O$7:$P$12,2,0)*0.05))*DATEDIF(Resumen!$B$6,A46,"y")))))</f>
        <v>36.36</v>
      </c>
      <c r="H46" s="4">
        <f t="shared" si="16"/>
        <v>104.03</v>
      </c>
      <c r="I46" s="4">
        <f t="shared" si="17"/>
        <v>103.99</v>
      </c>
      <c r="J46" s="1">
        <f>IF(Resumen!$B$14="Código",IF(A46&lt;DATE(2021,7,1),0,(0.03*(VLOOKUP(YEAR(A46),Resumen!$O$7:$P$12,2,0))*Resumen!$B$8)),IF(A46&lt;DATE(2022,3,1),0,(0.03*(VLOOKUP(YEAR(A46),Resumen!$O$7:$P$12,2,0))*Resumen!$B$8)))</f>
        <v>0</v>
      </c>
      <c r="K46" s="1">
        <f>IF(Resumen!$B$14="Código",IF(A46&lt;DATE(2021,7,1),0,50),IF(A46&lt;DATE(2022,3,1),0,50))</f>
        <v>0</v>
      </c>
      <c r="L46" s="1">
        <v>0</v>
      </c>
      <c r="M46" s="1">
        <v>0</v>
      </c>
      <c r="N46" s="1">
        <v>0</v>
      </c>
      <c r="O46" s="1">
        <v>0</v>
      </c>
      <c r="P46" s="1">
        <v>0</v>
      </c>
      <c r="Q46" s="1">
        <f>IF(Resumen!$B$14="Código",(B46+E46+F46+G46)*9.45%*-1,(B46+E46+F46+G46)*11.45%*-1)</f>
        <v>-142.93721999999997</v>
      </c>
      <c r="R46" s="3"/>
      <c r="S46" s="9">
        <f t="shared" si="28"/>
        <v>1512</v>
      </c>
      <c r="T46" s="4">
        <f t="shared" si="18"/>
        <v>0</v>
      </c>
      <c r="U46" s="4">
        <f t="shared" si="19"/>
        <v>0</v>
      </c>
      <c r="V46" s="4">
        <f t="shared" si="20"/>
        <v>185.91</v>
      </c>
      <c r="W46" s="4">
        <f t="shared" si="21"/>
        <v>185.84</v>
      </c>
      <c r="X46" s="4">
        <f>(0.03*(VLOOKUP(YEAR(A46),Resumen!$O$7:$P$12,2,0))*Resumen!$B$8)</f>
        <v>24</v>
      </c>
      <c r="Y46" s="4">
        <f>(((S46*0.03)+(VLOOKUP(YEAR(A46),Resumen!$O$7:$P$12,2,0)*0.05))*DATEDIF(Resumen!$B$6,A46,"y"))</f>
        <v>718.96</v>
      </c>
      <c r="Z46" s="3">
        <v>50</v>
      </c>
      <c r="AA46" s="1">
        <f>IF(DATEDIF(Resumen!$B$6,A46,"M")/12=5,S46/2,IF(DATEDIF(Resumen!$B$6,A46,"M")/12=10,S46,IF(DATEDIF(Resumen!$B$6,A46,"M")/12=15,S46*1.5,IF(DATEDIF(Resumen!$B$6,A46,"M")/12=20,S46*2,IF(DATEDIF(Resumen!$B$6,A46,"M")/12=25,S46*2.5,IF(DATEDIF(Resumen!$B$6,A46,"M")/12=30,S46*3,0))))))</f>
        <v>0</v>
      </c>
      <c r="AB46" s="19">
        <f>(IF(Resumen!$B$20="Sí",IF(Resumen!$C$20&lt;=A46,IF(DATEDIF(Resumen!$C$20,A46,"Y")&lt;8,VLOOKUP(YEAR(A46),Resumen!$O$7:$P$12,2,0),0),0),0))+(IF(Resumen!$B$21="Sí",IF(Resumen!$C$21&lt;=A46,IF(DATEDIF(Resumen!$C$21,A46,"Y")&lt;8,VLOOKUP(YEAR(A46),Resumen!$O$7:$P$12,2,0),0),0),0))</f>
        <v>0</v>
      </c>
      <c r="AC46" s="1">
        <f>IF(MONTH(A46)=12,VLOOKUP(YEAR(A46),Resumen!$O$7:$P$12,2,0),0)</f>
        <v>0</v>
      </c>
      <c r="AD46" s="1">
        <f t="shared" si="29"/>
        <v>0</v>
      </c>
      <c r="AE46" s="19">
        <f>(IF(Resumen!$B$25="Sí",IF(DATE(YEAR(Resumen!$C$25),MONTH(Resumen!$C$25),1)=A46,1000,0)+(IF(Resumen!$B$26="Sí",IF(DATE(YEAR(Resumen!$C$26),MONTH(Resumen!$C$26),1)=A46,1000,0),0)),0))</f>
        <v>0</v>
      </c>
      <c r="AF46" s="1">
        <v>0</v>
      </c>
      <c r="AG46" s="1">
        <v>0</v>
      </c>
      <c r="AH46" s="19">
        <v>130</v>
      </c>
      <c r="AI46" s="1">
        <f>IF(MONTH(A46)=1,(VLOOKUP(YEAR(A46),Resumen!$O$7:$P$12,2,0))*3,0)</f>
        <v>0</v>
      </c>
      <c r="AJ46" s="19">
        <f>IF(MONTH(A46)=12,(15+DATEDIF(Resumen!$B$6,A46,"y"))*50,0)</f>
        <v>0</v>
      </c>
      <c r="AK46" s="5">
        <f>IF(Resumen!$B$13="No",IF(Resumen!$B$12="No",20,100),0)</f>
        <v>20</v>
      </c>
      <c r="AL46" s="1">
        <f>IF(Resumen!$B$14="Código",(S46+T46+U46+Y46)*9.45%*-1,(S46+T46+U46+Y46)*11.45%*-1)</f>
        <v>-255.44492</v>
      </c>
      <c r="AN46" s="3">
        <f t="shared" si="30"/>
        <v>300</v>
      </c>
      <c r="AO46" s="4">
        <f t="shared" si="31"/>
        <v>0</v>
      </c>
      <c r="AP46" s="4">
        <f t="shared" si="32"/>
        <v>0</v>
      </c>
      <c r="AQ46" s="4">
        <f t="shared" si="33"/>
        <v>81.88</v>
      </c>
      <c r="AR46" s="4">
        <f t="shared" si="34"/>
        <v>81.850000000000009</v>
      </c>
      <c r="AS46" s="4">
        <f t="shared" si="35"/>
        <v>682.6</v>
      </c>
      <c r="AT46" s="4">
        <f t="shared" si="36"/>
        <v>24</v>
      </c>
      <c r="AU46" s="4">
        <f t="shared" si="37"/>
        <v>50</v>
      </c>
      <c r="AV46" s="6">
        <f t="shared" si="38"/>
        <v>0</v>
      </c>
      <c r="AW46" s="6">
        <f t="shared" si="39"/>
        <v>0</v>
      </c>
      <c r="AX46" s="6">
        <f t="shared" si="40"/>
        <v>0</v>
      </c>
      <c r="AY46" s="6">
        <f t="shared" si="22"/>
        <v>130</v>
      </c>
      <c r="AZ46" s="6">
        <f t="shared" si="41"/>
        <v>20</v>
      </c>
      <c r="BA46" s="6">
        <f t="shared" si="23"/>
        <v>0</v>
      </c>
      <c r="BB46" s="6">
        <f t="shared" si="24"/>
        <v>0</v>
      </c>
      <c r="BC46" s="6">
        <f t="shared" si="25"/>
        <v>0</v>
      </c>
      <c r="BD46" s="6">
        <f t="shared" si="42"/>
        <v>-112.50770000000003</v>
      </c>
      <c r="BF46" s="3">
        <f t="shared" si="26"/>
        <v>1257.8222999999998</v>
      </c>
      <c r="BG46" s="3">
        <f ca="1">BF46*Resumen!$P$14*((TODAY()-(A46+30))/360)</f>
        <v>174.99941901866663</v>
      </c>
    </row>
    <row r="47" spans="1:59" x14ac:dyDescent="0.25">
      <c r="A47" s="7">
        <v>44440</v>
      </c>
      <c r="B47" s="9">
        <f>IF(Resumen!$B$14="Código",IF(A47&lt;DATE(2021,7,1),Resumen!$B$7,Resumen!$B$7+300),IF(A47&lt;DATE(2022,3,1),Resumen!$B$7,Resumen!$B$7+300))</f>
        <v>1212</v>
      </c>
      <c r="C47" s="77">
        <v>0</v>
      </c>
      <c r="D47" s="77">
        <v>8</v>
      </c>
      <c r="E47" s="4">
        <f t="shared" si="14"/>
        <v>0</v>
      </c>
      <c r="F47" s="4">
        <f t="shared" si="15"/>
        <v>80.8</v>
      </c>
      <c r="G47" s="4">
        <f>IF(Resumen!$B$14="Código",IF(A47&lt;DATE(2021,7,1),(Resumen!$B$7*0.25%)*DATEDIF("1/1/2009",A47,"y"),IF(Resumen!$B$9="Sí",(((B47*0.03)+(VLOOKUP(YEAR(A47),Resumen!$O$7:$P$12,2,0)*0.05))*DATEDIF(MAX("1/5/2008",Resumen!$B$6),A47,"y")),(((B47*0.03)+(VLOOKUP(YEAR(A47),Resumen!$O$7:$P$12,2,0)*0.05))*DATEDIF(Resumen!$B$6,A47,"y")))),IF(A47&lt;DATE(2022,3,1),(Resumen!$B$7*0.25%)*DATEDIF("1/1/2009",A47,"y"),IF(Resumen!$B$9="Sí",(((B47*0.03)+(VLOOKUP(YEAR(A47),Resumen!$O$7:$P$12,2,0)*0.05))*DATEDIF(MAX("1/5/2008",Resumen!$B$6),A47,"y")),(((B47*0.03)+(VLOOKUP(YEAR(A47),Resumen!$O$7:$P$12,2,0)*0.05))*DATEDIF(Resumen!$B$6,A47,"y")))))</f>
        <v>36.36</v>
      </c>
      <c r="H47" s="4">
        <f t="shared" si="16"/>
        <v>110.76</v>
      </c>
      <c r="I47" s="4">
        <f t="shared" si="17"/>
        <v>110.72</v>
      </c>
      <c r="J47" s="1">
        <f>IF(Resumen!$B$14="Código",IF(A47&lt;DATE(2021,7,1),0,(0.03*(VLOOKUP(YEAR(A47),Resumen!$O$7:$P$12,2,0))*Resumen!$B$8)),IF(A47&lt;DATE(2022,3,1),0,(0.03*(VLOOKUP(YEAR(A47),Resumen!$O$7:$P$12,2,0))*Resumen!$B$8)))</f>
        <v>0</v>
      </c>
      <c r="K47" s="1">
        <f>IF(Resumen!$B$14="Código",IF(A47&lt;DATE(2021,7,1),0,50),IF(A47&lt;DATE(2022,3,1),0,50))</f>
        <v>0</v>
      </c>
      <c r="L47" s="1">
        <v>0</v>
      </c>
      <c r="M47" s="1">
        <v>0</v>
      </c>
      <c r="N47" s="1">
        <v>0</v>
      </c>
      <c r="O47" s="1">
        <v>0</v>
      </c>
      <c r="P47" s="1">
        <v>0</v>
      </c>
      <c r="Q47" s="1">
        <f>IF(Resumen!$B$14="Código",(B47+E47+F47+G47)*9.45%*-1,(B47+E47+F47+G47)*11.45%*-1)</f>
        <v>-152.18881999999996</v>
      </c>
      <c r="R47" s="3"/>
      <c r="S47" s="9">
        <f t="shared" si="28"/>
        <v>1512</v>
      </c>
      <c r="T47" s="4">
        <f t="shared" si="18"/>
        <v>0</v>
      </c>
      <c r="U47" s="4">
        <f t="shared" si="19"/>
        <v>100.8</v>
      </c>
      <c r="V47" s="4">
        <f t="shared" si="20"/>
        <v>194.31</v>
      </c>
      <c r="W47" s="4">
        <f t="shared" si="21"/>
        <v>194.24</v>
      </c>
      <c r="X47" s="4">
        <f>(0.03*(VLOOKUP(YEAR(A47),Resumen!$O$7:$P$12,2,0))*Resumen!$B$8)</f>
        <v>24</v>
      </c>
      <c r="Y47" s="4">
        <f>(((S47*0.03)+(VLOOKUP(YEAR(A47),Resumen!$O$7:$P$12,2,0)*0.05))*DATEDIF(Resumen!$B$6,A47,"y"))</f>
        <v>718.96</v>
      </c>
      <c r="Z47" s="3">
        <v>50</v>
      </c>
      <c r="AA47" s="1">
        <f>IF(DATEDIF(Resumen!$B$6,A47,"M")/12=5,S47/2,IF(DATEDIF(Resumen!$B$6,A47,"M")/12=10,S47,IF(DATEDIF(Resumen!$B$6,A47,"M")/12=15,S47*1.5,IF(DATEDIF(Resumen!$B$6,A47,"M")/12=20,S47*2,IF(DATEDIF(Resumen!$B$6,A47,"M")/12=25,S47*2.5,IF(DATEDIF(Resumen!$B$6,A47,"M")/12=30,S47*3,0))))))</f>
        <v>0</v>
      </c>
      <c r="AB47" s="19">
        <f>(IF(Resumen!$B$20="Sí",IF(Resumen!$C$20&lt;=A47,IF(DATEDIF(Resumen!$C$20,A47,"Y")&lt;8,VLOOKUP(YEAR(A47),Resumen!$O$7:$P$12,2,0),0),0),0))+(IF(Resumen!$B$21="Sí",IF(Resumen!$C$21&lt;=A47,IF(DATEDIF(Resumen!$C$21,A47,"Y")&lt;8,VLOOKUP(YEAR(A47),Resumen!$O$7:$P$12,2,0),0),0),0))</f>
        <v>0</v>
      </c>
      <c r="AC47" s="1">
        <f>IF(MONTH(A47)=12,VLOOKUP(YEAR(A47),Resumen!$O$7:$P$12,2,0),0)</f>
        <v>0</v>
      </c>
      <c r="AD47" s="1">
        <f t="shared" si="29"/>
        <v>0</v>
      </c>
      <c r="AE47" s="19">
        <f>(IF(Resumen!$B$25="Sí",IF(DATE(YEAR(Resumen!$C$25),MONTH(Resumen!$C$25),1)=A47,1000,0)+(IF(Resumen!$B$26="Sí",IF(DATE(YEAR(Resumen!$C$26),MONTH(Resumen!$C$26),1)=A47,1000,0),0)),0))</f>
        <v>0</v>
      </c>
      <c r="AF47" s="1">
        <v>0</v>
      </c>
      <c r="AG47" s="1">
        <v>0</v>
      </c>
      <c r="AH47" s="19">
        <v>130</v>
      </c>
      <c r="AI47" s="1">
        <f>IF(MONTH(A47)=1,(VLOOKUP(YEAR(A47),Resumen!$O$7:$P$12,2,0))*3,0)</f>
        <v>0</v>
      </c>
      <c r="AJ47" s="19">
        <f>IF(MONTH(A47)=12,(15+DATEDIF(Resumen!$B$6,A47,"y"))*50,0)</f>
        <v>0</v>
      </c>
      <c r="AK47" s="5">
        <f>IF(Resumen!$B$13="No",IF(Resumen!$B$12="No",20,100),0)</f>
        <v>20</v>
      </c>
      <c r="AL47" s="1">
        <f>IF(Resumen!$B$14="Código",(S47+T47+U47+Y47)*9.45%*-1,(S47+T47+U47+Y47)*11.45%*-1)</f>
        <v>-266.98651999999998</v>
      </c>
      <c r="AN47" s="3">
        <f t="shared" si="30"/>
        <v>300</v>
      </c>
      <c r="AO47" s="4">
        <f t="shared" si="31"/>
        <v>0</v>
      </c>
      <c r="AP47" s="4">
        <f t="shared" si="32"/>
        <v>20</v>
      </c>
      <c r="AQ47" s="4">
        <f t="shared" si="33"/>
        <v>83.55</v>
      </c>
      <c r="AR47" s="4">
        <f t="shared" si="34"/>
        <v>83.52000000000001</v>
      </c>
      <c r="AS47" s="4">
        <f t="shared" si="35"/>
        <v>682.6</v>
      </c>
      <c r="AT47" s="4">
        <f t="shared" si="36"/>
        <v>24</v>
      </c>
      <c r="AU47" s="4">
        <f t="shared" si="37"/>
        <v>50</v>
      </c>
      <c r="AV47" s="6">
        <f t="shared" si="38"/>
        <v>0</v>
      </c>
      <c r="AW47" s="6">
        <f t="shared" si="39"/>
        <v>0</v>
      </c>
      <c r="AX47" s="6">
        <f t="shared" si="40"/>
        <v>0</v>
      </c>
      <c r="AY47" s="6">
        <f t="shared" si="22"/>
        <v>130</v>
      </c>
      <c r="AZ47" s="6">
        <f t="shared" si="41"/>
        <v>20</v>
      </c>
      <c r="BA47" s="6">
        <f t="shared" si="23"/>
        <v>0</v>
      </c>
      <c r="BB47" s="6">
        <f t="shared" si="24"/>
        <v>0</v>
      </c>
      <c r="BC47" s="6">
        <f t="shared" si="25"/>
        <v>0</v>
      </c>
      <c r="BD47" s="6">
        <f t="shared" si="42"/>
        <v>-114.79770000000002</v>
      </c>
      <c r="BF47" s="3">
        <f t="shared" si="26"/>
        <v>1278.8723</v>
      </c>
      <c r="BG47" s="3">
        <f ca="1">BF47*Resumen!$P$14*((TODAY()-(A47+30))/360)</f>
        <v>168.06087185066667</v>
      </c>
    </row>
    <row r="48" spans="1:59" x14ac:dyDescent="0.25">
      <c r="A48" s="7">
        <v>44470</v>
      </c>
      <c r="B48" s="9">
        <f>IF(Resumen!$B$14="Código",IF(A48&lt;DATE(2021,7,1),Resumen!$B$7,Resumen!$B$7+300),IF(A48&lt;DATE(2022,3,1),Resumen!$B$7,Resumen!$B$7+300))</f>
        <v>1212</v>
      </c>
      <c r="C48" s="77">
        <v>0</v>
      </c>
      <c r="D48" s="77">
        <v>0</v>
      </c>
      <c r="E48" s="4">
        <f t="shared" si="14"/>
        <v>0</v>
      </c>
      <c r="F48" s="4">
        <f t="shared" si="15"/>
        <v>0</v>
      </c>
      <c r="G48" s="4">
        <f>IF(Resumen!$B$14="Código",IF(A48&lt;DATE(2021,7,1),(Resumen!$B$7*0.25%)*DATEDIF("1/1/2009",A48,"y"),IF(Resumen!$B$9="Sí",(((B48*0.03)+(VLOOKUP(YEAR(A48),Resumen!$O$7:$P$12,2,0)*0.05))*DATEDIF(MAX("1/5/2008",Resumen!$B$6),A48,"y")),(((B48*0.03)+(VLOOKUP(YEAR(A48),Resumen!$O$7:$P$12,2,0)*0.05))*DATEDIF(Resumen!$B$6,A48,"y")))),IF(A48&lt;DATE(2022,3,1),(Resumen!$B$7*0.25%)*DATEDIF("1/1/2009",A48,"y"),IF(Resumen!$B$9="Sí",(((B48*0.03)+(VLOOKUP(YEAR(A48),Resumen!$O$7:$P$12,2,0)*0.05))*DATEDIF(MAX("1/5/2008",Resumen!$B$6),A48,"y")),(((B48*0.03)+(VLOOKUP(YEAR(A48),Resumen!$O$7:$P$12,2,0)*0.05))*DATEDIF(Resumen!$B$6,A48,"y")))))</f>
        <v>36.36</v>
      </c>
      <c r="H48" s="4">
        <f t="shared" si="16"/>
        <v>104.03</v>
      </c>
      <c r="I48" s="4">
        <f t="shared" si="17"/>
        <v>103.99</v>
      </c>
      <c r="J48" s="1">
        <f>IF(Resumen!$B$14="Código",IF(A48&lt;DATE(2021,7,1),0,(0.03*(VLOOKUP(YEAR(A48),Resumen!$O$7:$P$12,2,0))*Resumen!$B$8)),IF(A48&lt;DATE(2022,3,1),0,(0.03*(VLOOKUP(YEAR(A48),Resumen!$O$7:$P$12,2,0))*Resumen!$B$8)))</f>
        <v>0</v>
      </c>
      <c r="K48" s="1">
        <f>IF(Resumen!$B$14="Código",IF(A48&lt;DATE(2021,7,1),0,50),IF(A48&lt;DATE(2022,3,1),0,50))</f>
        <v>0</v>
      </c>
      <c r="L48" s="1">
        <v>0</v>
      </c>
      <c r="M48" s="1">
        <v>0</v>
      </c>
      <c r="N48" s="1">
        <v>0</v>
      </c>
      <c r="O48" s="1">
        <v>0</v>
      </c>
      <c r="P48" s="1">
        <v>0</v>
      </c>
      <c r="Q48" s="1">
        <f>IF(Resumen!$B$14="Código",(B48+E48+F48+G48)*9.45%*-1,(B48+E48+F48+G48)*11.45%*-1)</f>
        <v>-142.93721999999997</v>
      </c>
      <c r="R48" s="3"/>
      <c r="S48" s="9">
        <f t="shared" si="28"/>
        <v>1512</v>
      </c>
      <c r="T48" s="4">
        <f t="shared" si="18"/>
        <v>0</v>
      </c>
      <c r="U48" s="4">
        <f t="shared" si="19"/>
        <v>0</v>
      </c>
      <c r="V48" s="4">
        <f t="shared" si="20"/>
        <v>185.91</v>
      </c>
      <c r="W48" s="4">
        <f t="shared" si="21"/>
        <v>185.84</v>
      </c>
      <c r="X48" s="4">
        <f>(0.03*(VLOOKUP(YEAR(A48),Resumen!$O$7:$P$12,2,0))*Resumen!$B$8)</f>
        <v>24</v>
      </c>
      <c r="Y48" s="4">
        <f>(((S48*0.03)+(VLOOKUP(YEAR(A48),Resumen!$O$7:$P$12,2,0)*0.05))*DATEDIF(Resumen!$B$6,A48,"y"))</f>
        <v>718.96</v>
      </c>
      <c r="Z48" s="3">
        <v>50</v>
      </c>
      <c r="AA48" s="1">
        <f>IF(DATEDIF(Resumen!$B$6,A48,"M")/12=5,S48/2,IF(DATEDIF(Resumen!$B$6,A48,"M")/12=10,S48,IF(DATEDIF(Resumen!$B$6,A48,"M")/12=15,S48*1.5,IF(DATEDIF(Resumen!$B$6,A48,"M")/12=20,S48*2,IF(DATEDIF(Resumen!$B$6,A48,"M")/12=25,S48*2.5,IF(DATEDIF(Resumen!$B$6,A48,"M")/12=30,S48*3,0))))))</f>
        <v>0</v>
      </c>
      <c r="AB48" s="19">
        <f>(IF(Resumen!$B$20="Sí",IF(Resumen!$C$20&lt;=A48,IF(DATEDIF(Resumen!$C$20,A48,"Y")&lt;8,VLOOKUP(YEAR(A48),Resumen!$O$7:$P$12,2,0),0),0),0))+(IF(Resumen!$B$21="Sí",IF(Resumen!$C$21&lt;=A48,IF(DATEDIF(Resumen!$C$21,A48,"Y")&lt;8,VLOOKUP(YEAR(A48),Resumen!$O$7:$P$12,2,0),0),0),0))</f>
        <v>0</v>
      </c>
      <c r="AC48" s="1">
        <f>IF(MONTH(A48)=12,VLOOKUP(YEAR(A48),Resumen!$O$7:$P$12,2,0),0)</f>
        <v>0</v>
      </c>
      <c r="AD48" s="1">
        <f t="shared" si="29"/>
        <v>0</v>
      </c>
      <c r="AE48" s="19">
        <f>(IF(Resumen!$B$25="Sí",IF(DATE(YEAR(Resumen!$C$25),MONTH(Resumen!$C$25),1)=A48,1000,0)+(IF(Resumen!$B$26="Sí",IF(DATE(YEAR(Resumen!$C$26),MONTH(Resumen!$C$26),1)=A48,1000,0),0)),0))</f>
        <v>0</v>
      </c>
      <c r="AF48" s="1">
        <v>0</v>
      </c>
      <c r="AG48" s="1">
        <v>0</v>
      </c>
      <c r="AH48" s="19">
        <v>130</v>
      </c>
      <c r="AI48" s="1">
        <f>IF(MONTH(A48)=1,(VLOOKUP(YEAR(A48),Resumen!$O$7:$P$12,2,0))*3,0)</f>
        <v>0</v>
      </c>
      <c r="AJ48" s="19">
        <f>IF(MONTH(A48)=12,(15+DATEDIF(Resumen!$B$6,A48,"y"))*50,0)</f>
        <v>0</v>
      </c>
      <c r="AK48" s="5">
        <f>IF(Resumen!$B$13="No",IF(Resumen!$B$12="No",20,100),0)</f>
        <v>20</v>
      </c>
      <c r="AL48" s="1">
        <f>IF(Resumen!$B$14="Código",(S48+T48+U48+Y48)*9.45%*-1,(S48+T48+U48+Y48)*11.45%*-1)</f>
        <v>-255.44492</v>
      </c>
      <c r="AN48" s="3">
        <f t="shared" si="30"/>
        <v>300</v>
      </c>
      <c r="AO48" s="4">
        <f t="shared" si="31"/>
        <v>0</v>
      </c>
      <c r="AP48" s="4">
        <f t="shared" si="32"/>
        <v>0</v>
      </c>
      <c r="AQ48" s="4">
        <f t="shared" si="33"/>
        <v>81.88</v>
      </c>
      <c r="AR48" s="4">
        <f t="shared" si="34"/>
        <v>81.850000000000009</v>
      </c>
      <c r="AS48" s="4">
        <f t="shared" si="35"/>
        <v>682.6</v>
      </c>
      <c r="AT48" s="4">
        <f t="shared" si="36"/>
        <v>24</v>
      </c>
      <c r="AU48" s="4">
        <f t="shared" si="37"/>
        <v>50</v>
      </c>
      <c r="AV48" s="6">
        <f t="shared" si="38"/>
        <v>0</v>
      </c>
      <c r="AW48" s="6">
        <f t="shared" si="39"/>
        <v>0</v>
      </c>
      <c r="AX48" s="6">
        <f t="shared" si="40"/>
        <v>0</v>
      </c>
      <c r="AY48" s="6">
        <f t="shared" si="22"/>
        <v>130</v>
      </c>
      <c r="AZ48" s="6">
        <f t="shared" si="41"/>
        <v>20</v>
      </c>
      <c r="BA48" s="6">
        <f t="shared" si="23"/>
        <v>0</v>
      </c>
      <c r="BB48" s="6">
        <f t="shared" si="24"/>
        <v>0</v>
      </c>
      <c r="BC48" s="6">
        <f t="shared" si="25"/>
        <v>0</v>
      </c>
      <c r="BD48" s="6">
        <f t="shared" si="42"/>
        <v>-112.50770000000003</v>
      </c>
      <c r="BF48" s="3">
        <f t="shared" si="26"/>
        <v>1257.8222999999998</v>
      </c>
      <c r="BG48" s="3">
        <f ca="1">BF48*Resumen!$P$14*((TODAY()-(A48+30))/360)</f>
        <v>155.90288134399998</v>
      </c>
    </row>
    <row r="49" spans="1:59" x14ac:dyDescent="0.25">
      <c r="A49" s="7">
        <v>44501</v>
      </c>
      <c r="B49" s="9">
        <f>IF(Resumen!$B$14="Código",IF(A49&lt;DATE(2021,7,1),Resumen!$B$7,Resumen!$B$7+300),IF(A49&lt;DATE(2022,3,1),Resumen!$B$7,Resumen!$B$7+300))</f>
        <v>1212</v>
      </c>
      <c r="C49" s="77">
        <v>9</v>
      </c>
      <c r="D49" s="77">
        <v>8</v>
      </c>
      <c r="E49" s="4">
        <f t="shared" si="14"/>
        <v>68.180000000000007</v>
      </c>
      <c r="F49" s="4">
        <f t="shared" si="15"/>
        <v>80.8</v>
      </c>
      <c r="G49" s="4">
        <f>IF(Resumen!$B$14="Código",IF(A49&lt;DATE(2021,7,1),(Resumen!$B$7*0.25%)*DATEDIF("1/1/2009",A49,"y"),IF(Resumen!$B$9="Sí",(((B49*0.03)+(VLOOKUP(YEAR(A49),Resumen!$O$7:$P$12,2,0)*0.05))*DATEDIF(MAX("1/5/2008",Resumen!$B$6),A49,"y")),(((B49*0.03)+(VLOOKUP(YEAR(A49),Resumen!$O$7:$P$12,2,0)*0.05))*DATEDIF(Resumen!$B$6,A49,"y")))),IF(A49&lt;DATE(2022,3,1),(Resumen!$B$7*0.25%)*DATEDIF("1/1/2009",A49,"y"),IF(Resumen!$B$9="Sí",(((B49*0.03)+(VLOOKUP(YEAR(A49),Resumen!$O$7:$P$12,2,0)*0.05))*DATEDIF(MAX("1/5/2008",Resumen!$B$6),A49,"y")),(((B49*0.03)+(VLOOKUP(YEAR(A49),Resumen!$O$7:$P$12,2,0)*0.05))*DATEDIF(Resumen!$B$6,A49,"y")))))</f>
        <v>36.36</v>
      </c>
      <c r="H49" s="4">
        <f t="shared" si="16"/>
        <v>116.45</v>
      </c>
      <c r="I49" s="4">
        <f t="shared" si="17"/>
        <v>116.4</v>
      </c>
      <c r="J49" s="1">
        <f>IF(Resumen!$B$14="Código",IF(A49&lt;DATE(2021,7,1),0,(0.03*(VLOOKUP(YEAR(A49),Resumen!$O$7:$P$12,2,0))*Resumen!$B$8)),IF(A49&lt;DATE(2022,3,1),0,(0.03*(VLOOKUP(YEAR(A49),Resumen!$O$7:$P$12,2,0))*Resumen!$B$8)))</f>
        <v>0</v>
      </c>
      <c r="K49" s="1">
        <f>IF(Resumen!$B$14="Código",IF(A49&lt;DATE(2021,7,1),0,50),IF(A49&lt;DATE(2022,3,1),0,50))</f>
        <v>0</v>
      </c>
      <c r="L49" s="1">
        <v>0</v>
      </c>
      <c r="M49" s="1">
        <v>0</v>
      </c>
      <c r="N49" s="1">
        <v>0</v>
      </c>
      <c r="O49" s="1">
        <v>0</v>
      </c>
      <c r="P49" s="1">
        <v>0</v>
      </c>
      <c r="Q49" s="1">
        <f>IF(Resumen!$B$14="Código",(B49+E49+F49+G49)*9.45%*-1,(B49+E49+F49+G49)*11.45%*-1)</f>
        <v>-159.99542999999997</v>
      </c>
      <c r="R49" s="3"/>
      <c r="S49" s="9">
        <f t="shared" si="28"/>
        <v>1512</v>
      </c>
      <c r="T49" s="4">
        <f t="shared" si="18"/>
        <v>85.05</v>
      </c>
      <c r="U49" s="4">
        <f t="shared" si="19"/>
        <v>100.8</v>
      </c>
      <c r="V49" s="4">
        <f t="shared" si="20"/>
        <v>201.4</v>
      </c>
      <c r="W49" s="4">
        <f t="shared" si="21"/>
        <v>201.32</v>
      </c>
      <c r="X49" s="4">
        <f>(0.03*(VLOOKUP(YEAR(A49),Resumen!$O$7:$P$12,2,0))*Resumen!$B$8)</f>
        <v>24</v>
      </c>
      <c r="Y49" s="4">
        <f>(((S49*0.03)+(VLOOKUP(YEAR(A49),Resumen!$O$7:$P$12,2,0)*0.05))*DATEDIF(Resumen!$B$6,A49,"y"))</f>
        <v>718.96</v>
      </c>
      <c r="Z49" s="3">
        <v>50</v>
      </c>
      <c r="AA49" s="1">
        <f>IF(DATEDIF(Resumen!$B$6,A49,"M")/12=5,S49/2,IF(DATEDIF(Resumen!$B$6,A49,"M")/12=10,S49,IF(DATEDIF(Resumen!$B$6,A49,"M")/12=15,S49*1.5,IF(DATEDIF(Resumen!$B$6,A49,"M")/12=20,S49*2,IF(DATEDIF(Resumen!$B$6,A49,"M")/12=25,S49*2.5,IF(DATEDIF(Resumen!$B$6,A49,"M")/12=30,S49*3,0))))))</f>
        <v>0</v>
      </c>
      <c r="AB49" s="19">
        <f>(IF(Resumen!$B$20="Sí",IF(Resumen!$C$20&lt;=A49,IF(DATEDIF(Resumen!$C$20,A49,"Y")&lt;8,VLOOKUP(YEAR(A49),Resumen!$O$7:$P$12,2,0),0),0),0))+(IF(Resumen!$B$21="Sí",IF(Resumen!$C$21&lt;=A49,IF(DATEDIF(Resumen!$C$21,A49,"Y")&lt;8,VLOOKUP(YEAR(A49),Resumen!$O$7:$P$12,2,0),0),0),0))</f>
        <v>0</v>
      </c>
      <c r="AC49" s="1">
        <f>IF(MONTH(A49)=12,VLOOKUP(YEAR(A49),Resumen!$O$7:$P$12,2,0),0)</f>
        <v>0</v>
      </c>
      <c r="AD49" s="1">
        <f t="shared" si="29"/>
        <v>0</v>
      </c>
      <c r="AE49" s="19">
        <f>(IF(Resumen!$B$25="Sí",IF(DATE(YEAR(Resumen!$C$25),MONTH(Resumen!$C$25),1)=A49,1000,0)+(IF(Resumen!$B$26="Sí",IF(DATE(YEAR(Resumen!$C$26),MONTH(Resumen!$C$26),1)=A49,1000,0),0)),0))</f>
        <v>0</v>
      </c>
      <c r="AF49" s="1">
        <v>0</v>
      </c>
      <c r="AG49" s="1">
        <v>0</v>
      </c>
      <c r="AH49" s="19">
        <v>130</v>
      </c>
      <c r="AI49" s="1">
        <f>IF(MONTH(A49)=1,(VLOOKUP(YEAR(A49),Resumen!$O$7:$P$12,2,0))*3,0)</f>
        <v>0</v>
      </c>
      <c r="AJ49" s="19">
        <f>IF(MONTH(A49)=12,(15+DATEDIF(Resumen!$B$6,A49,"y"))*50,0)</f>
        <v>0</v>
      </c>
      <c r="AK49" s="5">
        <f>IF(Resumen!$B$13="No",IF(Resumen!$B$12="No",20,100),0)</f>
        <v>20</v>
      </c>
      <c r="AL49" s="1">
        <f>IF(Resumen!$B$14="Código",(S49+T49+U49+Y49)*9.45%*-1,(S49+T49+U49+Y49)*11.45%*-1)</f>
        <v>-276.72474499999998</v>
      </c>
      <c r="AN49" s="3">
        <f t="shared" si="30"/>
        <v>300</v>
      </c>
      <c r="AO49" s="4">
        <f t="shared" si="31"/>
        <v>16.86999999999999</v>
      </c>
      <c r="AP49" s="4">
        <f t="shared" si="32"/>
        <v>20</v>
      </c>
      <c r="AQ49" s="4">
        <f t="shared" si="33"/>
        <v>84.95</v>
      </c>
      <c r="AR49" s="4">
        <f t="shared" si="34"/>
        <v>84.919999999999987</v>
      </c>
      <c r="AS49" s="4">
        <f t="shared" si="35"/>
        <v>682.6</v>
      </c>
      <c r="AT49" s="4">
        <f t="shared" si="36"/>
        <v>24</v>
      </c>
      <c r="AU49" s="4">
        <f t="shared" si="37"/>
        <v>50</v>
      </c>
      <c r="AV49" s="6">
        <f t="shared" si="38"/>
        <v>0</v>
      </c>
      <c r="AW49" s="6">
        <f t="shared" si="39"/>
        <v>0</v>
      </c>
      <c r="AX49" s="6">
        <f t="shared" si="40"/>
        <v>0</v>
      </c>
      <c r="AY49" s="6">
        <f t="shared" si="22"/>
        <v>130</v>
      </c>
      <c r="AZ49" s="6">
        <f t="shared" si="41"/>
        <v>20</v>
      </c>
      <c r="BA49" s="6">
        <f t="shared" si="23"/>
        <v>0</v>
      </c>
      <c r="BB49" s="6">
        <f t="shared" si="24"/>
        <v>0</v>
      </c>
      <c r="BC49" s="6">
        <f t="shared" si="25"/>
        <v>0</v>
      </c>
      <c r="BD49" s="6">
        <f t="shared" si="42"/>
        <v>-116.72931500000001</v>
      </c>
      <c r="BF49" s="3">
        <f t="shared" si="26"/>
        <v>1296.6106850000001</v>
      </c>
      <c r="BG49" s="3">
        <f ca="1">BF49*Resumen!$P$14*((TODAY()-(A49+30))/360)</f>
        <v>150.70650059608892</v>
      </c>
    </row>
    <row r="50" spans="1:59" x14ac:dyDescent="0.25">
      <c r="A50" s="7">
        <v>44531</v>
      </c>
      <c r="B50" s="9">
        <f>IF(Resumen!$B$14="Código",IF(A50&lt;DATE(2021,7,1),Resumen!$B$7,Resumen!$B$7+300),IF(A50&lt;DATE(2022,3,1),Resumen!$B$7,Resumen!$B$7+300))</f>
        <v>1212</v>
      </c>
      <c r="C50" s="77">
        <v>6</v>
      </c>
      <c r="D50" s="77">
        <v>16</v>
      </c>
      <c r="E50" s="4">
        <f t="shared" si="14"/>
        <v>45.45</v>
      </c>
      <c r="F50" s="4">
        <f t="shared" si="15"/>
        <v>161.6</v>
      </c>
      <c r="G50" s="4">
        <f>IF(Resumen!$B$14="Código",IF(A50&lt;DATE(2021,7,1),(Resumen!$B$7*0.25%)*DATEDIF("1/1/2009",A50,"y"),IF(Resumen!$B$9="Sí",(((B50*0.03)+(VLOOKUP(YEAR(A50),Resumen!$O$7:$P$12,2,0)*0.05))*DATEDIF(MAX("1/5/2008",Resumen!$B$6),A50,"y")),(((B50*0.03)+(VLOOKUP(YEAR(A50),Resumen!$O$7:$P$12,2,0)*0.05))*DATEDIF(Resumen!$B$6,A50,"y")))),IF(A50&lt;DATE(2022,3,1),(Resumen!$B$7*0.25%)*DATEDIF("1/1/2009",A50,"y"),IF(Resumen!$B$9="Sí",(((B50*0.03)+(VLOOKUP(YEAR(A50),Resumen!$O$7:$P$12,2,0)*0.05))*DATEDIF(MAX("1/5/2008",Resumen!$B$6),A50,"y")),(((B50*0.03)+(VLOOKUP(YEAR(A50),Resumen!$O$7:$P$12,2,0)*0.05))*DATEDIF(Resumen!$B$6,A50,"y")))))</f>
        <v>36.36</v>
      </c>
      <c r="H50" s="4">
        <f t="shared" si="16"/>
        <v>121.28</v>
      </c>
      <c r="I50" s="4">
        <f t="shared" si="17"/>
        <v>121.24</v>
      </c>
      <c r="J50" s="1">
        <f>IF(Resumen!$B$14="Código",IF(A50&lt;DATE(2021,7,1),0,(0.03*(VLOOKUP(YEAR(A50),Resumen!$O$7:$P$12,2,0))*Resumen!$B$8)),IF(A50&lt;DATE(2022,3,1),0,(0.03*(VLOOKUP(YEAR(A50),Resumen!$O$7:$P$12,2,0))*Resumen!$B$8)))</f>
        <v>0</v>
      </c>
      <c r="K50" s="1">
        <f>IF(Resumen!$B$14="Código",IF(A50&lt;DATE(2021,7,1),0,50),IF(A50&lt;DATE(2022,3,1),0,50))</f>
        <v>0</v>
      </c>
      <c r="L50" s="4">
        <f>VLOOKUP(YEAR(A50),Resumen!$O$7:$P$11,2,0)</f>
        <v>400</v>
      </c>
      <c r="M50" s="4">
        <v>100</v>
      </c>
      <c r="N50" s="1">
        <v>0</v>
      </c>
      <c r="O50" s="1">
        <v>0</v>
      </c>
      <c r="P50" s="1">
        <v>0</v>
      </c>
      <c r="Q50" s="1">
        <f>IF(Resumen!$B$14="Código",(B50+E50+F50+G50)*9.45%*-1,(B50+E50+F50+G50)*11.45%*-1)</f>
        <v>-166.64444499999996</v>
      </c>
      <c r="R50" s="3"/>
      <c r="S50" s="9">
        <f t="shared" si="28"/>
        <v>1512</v>
      </c>
      <c r="T50" s="4">
        <f t="shared" si="18"/>
        <v>56.7</v>
      </c>
      <c r="U50" s="4">
        <f t="shared" si="19"/>
        <v>201.6</v>
      </c>
      <c r="V50" s="4">
        <f t="shared" si="20"/>
        <v>207.44</v>
      </c>
      <c r="W50" s="4">
        <f t="shared" si="21"/>
        <v>207.36</v>
      </c>
      <c r="X50" s="4">
        <f>(0.03*(VLOOKUP(YEAR(A50),Resumen!$O$7:$P$12,2,0))*Resumen!$B$8)</f>
        <v>24</v>
      </c>
      <c r="Y50" s="4">
        <f>(((S50*0.03)+(VLOOKUP(YEAR(A50),Resumen!$O$7:$P$12,2,0)*0.05))*DATEDIF(Resumen!$B$6,A50,"y"))</f>
        <v>718.96</v>
      </c>
      <c r="Z50" s="3">
        <v>50</v>
      </c>
      <c r="AA50" s="1">
        <f>IF(DATEDIF(Resumen!$B$6,A50,"M")/12=5,S50/2,IF(DATEDIF(Resumen!$B$6,A50,"M")/12=10,S50,IF(DATEDIF(Resumen!$B$6,A50,"M")/12=15,S50*1.5,IF(DATEDIF(Resumen!$B$6,A50,"M")/12=20,S50*2,IF(DATEDIF(Resumen!$B$6,A50,"M")/12=25,S50*2.5,IF(DATEDIF(Resumen!$B$6,A50,"M")/12=30,S50*3,0))))))</f>
        <v>0</v>
      </c>
      <c r="AB50" s="19">
        <f>(IF(Resumen!$B$20="Sí",IF(Resumen!$C$20&lt;=A50,IF(DATEDIF(Resumen!$C$20,A50,"Y")&lt;8,VLOOKUP(YEAR(A50),Resumen!$O$7:$P$12,2,0),0),0),0))+(IF(Resumen!$B$21="Sí",IF(Resumen!$C$21&lt;=A50,IF(DATEDIF(Resumen!$C$21,A50,"Y")&lt;8,VLOOKUP(YEAR(A50),Resumen!$O$7:$P$12,2,0),0),0),0))</f>
        <v>0</v>
      </c>
      <c r="AC50" s="1">
        <f>IF(MONTH(A50)=12,VLOOKUP(YEAR(A50),Resumen!$O$7:$P$12,2,0),0)</f>
        <v>400</v>
      </c>
      <c r="AD50" s="1">
        <f t="shared" si="29"/>
        <v>100</v>
      </c>
      <c r="AE50" s="19">
        <f>(IF(Resumen!$B$25="Sí",IF(DATE(YEAR(Resumen!$C$25),MONTH(Resumen!$C$25),1)=A50,1000,0)+(IF(Resumen!$B$26="Sí",IF(DATE(YEAR(Resumen!$C$26),MONTH(Resumen!$C$26),1)=A50,1000,0),0)),0))</f>
        <v>0</v>
      </c>
      <c r="AF50" s="1">
        <v>0</v>
      </c>
      <c r="AG50" s="1">
        <v>0</v>
      </c>
      <c r="AH50" s="19">
        <v>130</v>
      </c>
      <c r="AI50" s="1">
        <f>IF(MONTH(A50)=1,(VLOOKUP(YEAR(A50),Resumen!$O$7:$P$12,2,0))*3,0)</f>
        <v>0</v>
      </c>
      <c r="AJ50" s="19">
        <f>IF(MONTH(A50)=12,(15+DATEDIF(Resumen!$B$6,A50,"y"))*50,0)</f>
        <v>1300</v>
      </c>
      <c r="AK50" s="5">
        <f>IF(Resumen!$B$13="No",IF(Resumen!$B$12="No",20,100),0)</f>
        <v>20</v>
      </c>
      <c r="AL50" s="1">
        <f>IF(Resumen!$B$14="Código",(S50+T50+U50+Y50)*9.45%*-1,(S50+T50+U50+Y50)*11.45%*-1)</f>
        <v>-285.02026999999998</v>
      </c>
      <c r="AN50" s="3">
        <f t="shared" si="30"/>
        <v>300</v>
      </c>
      <c r="AO50" s="4">
        <f t="shared" si="31"/>
        <v>11.25</v>
      </c>
      <c r="AP50" s="4">
        <f t="shared" si="32"/>
        <v>40</v>
      </c>
      <c r="AQ50" s="4">
        <f t="shared" si="33"/>
        <v>86.16</v>
      </c>
      <c r="AR50" s="4">
        <f t="shared" si="34"/>
        <v>86.120000000000019</v>
      </c>
      <c r="AS50" s="4">
        <f t="shared" si="35"/>
        <v>682.6</v>
      </c>
      <c r="AT50" s="4">
        <f t="shared" si="36"/>
        <v>24</v>
      </c>
      <c r="AU50" s="4">
        <f t="shared" si="37"/>
        <v>50</v>
      </c>
      <c r="AV50" s="6">
        <f t="shared" si="38"/>
        <v>0</v>
      </c>
      <c r="AW50" s="6">
        <f t="shared" si="39"/>
        <v>0</v>
      </c>
      <c r="AX50" s="6">
        <f t="shared" si="40"/>
        <v>0</v>
      </c>
      <c r="AY50" s="6">
        <f t="shared" si="22"/>
        <v>130</v>
      </c>
      <c r="AZ50" s="6">
        <f t="shared" si="41"/>
        <v>20</v>
      </c>
      <c r="BA50" s="6">
        <f t="shared" si="23"/>
        <v>0</v>
      </c>
      <c r="BB50" s="6">
        <f t="shared" si="24"/>
        <v>0</v>
      </c>
      <c r="BC50" s="6">
        <f t="shared" si="25"/>
        <v>1300</v>
      </c>
      <c r="BD50" s="6">
        <f t="shared" si="42"/>
        <v>-118.37582500000002</v>
      </c>
      <c r="BF50" s="3">
        <f t="shared" si="26"/>
        <v>2611.754175</v>
      </c>
      <c r="BG50" s="3">
        <f ca="1">BF50*Resumen!$P$14*((TODAY()-(A50+30))/360)</f>
        <v>284.06599186933329</v>
      </c>
    </row>
    <row r="51" spans="1:59" x14ac:dyDescent="0.25">
      <c r="A51" s="7">
        <v>44562</v>
      </c>
      <c r="B51" s="9">
        <f>IF(Resumen!$B$14="Código",IF(A51&lt;DATE(2021,7,1),Resumen!$B$7,Resumen!$B$7+300),IF(A51&lt;DATE(2022,3,1),Resumen!$B$7,Resumen!$B$7+300))</f>
        <v>1212</v>
      </c>
      <c r="C51" s="77">
        <v>8.1199999999999992</v>
      </c>
      <c r="D51" s="77">
        <v>15.72</v>
      </c>
      <c r="E51" s="4">
        <f t="shared" si="14"/>
        <v>61.51</v>
      </c>
      <c r="F51" s="4">
        <f t="shared" si="15"/>
        <v>158.77000000000001</v>
      </c>
      <c r="G51" s="4">
        <f>IF(Resumen!$B$14="Código",IF(A51&lt;DATE(2021,7,1),(Resumen!$B$7*0.25%)*DATEDIF("1/1/2009",A51,"y"),IF(Resumen!$B$9="Sí",(((B51*0.03)+(VLOOKUP(YEAR(A51),Resumen!$O$7:$P$12,2,0)*0.05))*DATEDIF(MAX("1/5/2008",Resumen!$B$6),A51,"y")),(((B51*0.03)+(VLOOKUP(YEAR(A51),Resumen!$O$7:$P$12,2,0)*0.05))*DATEDIF(Resumen!$B$6,A51,"y")))),IF(A51&lt;DATE(2022,3,1),(Resumen!$B$7*0.25%)*DATEDIF("1/1/2009",A51,"y"),IF(Resumen!$B$9="Sí",(((B51*0.03)+(VLOOKUP(YEAR(A51),Resumen!$O$7:$P$12,2,0)*0.05))*DATEDIF(MAX("1/5/2008",Resumen!$B$6),A51,"y")),(((B51*0.03)+(VLOOKUP(YEAR(A51),Resumen!$O$7:$P$12,2,0)*0.05))*DATEDIF(Resumen!$B$6,A51,"y")))))</f>
        <v>39.39</v>
      </c>
      <c r="H51" s="4">
        <f t="shared" si="16"/>
        <v>122.64</v>
      </c>
      <c r="I51" s="4">
        <f t="shared" si="17"/>
        <v>122.59</v>
      </c>
      <c r="J51" s="1">
        <f>IF(Resumen!$B$14="Código",IF(A51&lt;DATE(2021,7,1),0,(0.03*(VLOOKUP(YEAR(A51),Resumen!$O$7:$P$12,2,0))*Resumen!$B$8)),IF(A51&lt;DATE(2022,3,1),0,(0.03*(VLOOKUP(YEAR(A51),Resumen!$O$7:$P$12,2,0))*Resumen!$B$8)))</f>
        <v>0</v>
      </c>
      <c r="K51" s="1">
        <f>IF(Resumen!$B$14="Código",IF(A51&lt;DATE(2021,7,1),0,50),IF(A51&lt;DATE(2022,3,1),0,50))</f>
        <v>0</v>
      </c>
      <c r="L51" s="1">
        <v>0</v>
      </c>
      <c r="M51" s="1">
        <v>0</v>
      </c>
      <c r="N51" s="1">
        <v>0</v>
      </c>
      <c r="O51" s="1">
        <v>0</v>
      </c>
      <c r="P51" s="1">
        <v>0</v>
      </c>
      <c r="Q51" s="1">
        <f>IF(Resumen!$B$14="Código",(B51+E51+F51+G51)*9.45%*-1,(B51+E51+F51+G51)*11.45%*-1)</f>
        <v>-168.506215</v>
      </c>
      <c r="R51" s="3"/>
      <c r="S51" s="9">
        <f t="shared" si="28"/>
        <v>1512</v>
      </c>
      <c r="T51" s="4">
        <f t="shared" si="18"/>
        <v>76.73</v>
      </c>
      <c r="U51" s="4">
        <f t="shared" si="19"/>
        <v>198.07</v>
      </c>
      <c r="V51" s="4">
        <f t="shared" si="20"/>
        <v>209.96</v>
      </c>
      <c r="W51" s="4">
        <f t="shared" si="21"/>
        <v>209.88</v>
      </c>
      <c r="X51" s="4">
        <f>(0.03*(VLOOKUP(YEAR(A51),Resumen!$O$7:$P$12,2,0))*Resumen!$B$8)</f>
        <v>25.5</v>
      </c>
      <c r="Y51" s="4">
        <f>(((S51*0.03)+(VLOOKUP(YEAR(A51),Resumen!$O$7:$P$12,2,0)*0.05))*DATEDIF(Resumen!$B$6,A51,"y"))</f>
        <v>732.71</v>
      </c>
      <c r="Z51" s="3">
        <v>50</v>
      </c>
      <c r="AA51" s="1">
        <f>IF(DATEDIF(Resumen!$B$6,A51,"M")/12=5,S51/2,IF(DATEDIF(Resumen!$B$6,A51,"M")/12=10,S51,IF(DATEDIF(Resumen!$B$6,A51,"M")/12=15,S51*1.5,IF(DATEDIF(Resumen!$B$6,A51,"M")/12=20,S51*2,IF(DATEDIF(Resumen!$B$6,A51,"M")/12=25,S51*2.5,IF(DATEDIF(Resumen!$B$6,A51,"M")/12=30,S51*3,0))))))</f>
        <v>0</v>
      </c>
      <c r="AB51" s="19">
        <f>(IF(Resumen!$B$20="Sí",IF(Resumen!$C$20&lt;=A51,IF(DATEDIF(Resumen!$C$20,A51,"Y")&lt;8,VLOOKUP(YEAR(A51),Resumen!$O$7:$P$12,2,0),0),0),0))+(IF(Resumen!$B$21="Sí",IF(Resumen!$C$21&lt;=A51,IF(DATEDIF(Resumen!$C$21,A51,"Y")&lt;8,VLOOKUP(YEAR(A51),Resumen!$O$7:$P$12,2,0),0),0),0))</f>
        <v>0</v>
      </c>
      <c r="AC51" s="1">
        <f>IF(MONTH(A51)=12,VLOOKUP(YEAR(A51),Resumen!$O$7:$P$12,2,0),0)</f>
        <v>0</v>
      </c>
      <c r="AD51" s="1">
        <f t="shared" si="29"/>
        <v>0</v>
      </c>
      <c r="AE51" s="19">
        <f>(IF(Resumen!$B$25="Sí",IF(DATE(YEAR(Resumen!$C$25),MONTH(Resumen!$C$25),1)=A51,1000,0)+(IF(Resumen!$B$26="Sí",IF(DATE(YEAR(Resumen!$C$26),MONTH(Resumen!$C$26),1)=A51,1000,0),0)),0))</f>
        <v>0</v>
      </c>
      <c r="AF51" s="1">
        <v>0</v>
      </c>
      <c r="AG51" s="1">
        <v>0</v>
      </c>
      <c r="AH51" s="19">
        <v>130</v>
      </c>
      <c r="AI51" s="1">
        <f>IF(MONTH(A51)=1,(VLOOKUP(YEAR(A51),Resumen!$O$7:$P$12,2,0))*3,0)</f>
        <v>1275</v>
      </c>
      <c r="AJ51" s="19">
        <f>IF(MONTH(A51)=12,(15+DATEDIF(Resumen!$B$6,A51,"y"))*50,0)</f>
        <v>0</v>
      </c>
      <c r="AK51" s="5">
        <f>IF(Resumen!$B$13="No",IF(Resumen!$B$12="No",20,100),0)</f>
        <v>20</v>
      </c>
      <c r="AL51" s="1">
        <f>IF(Resumen!$B$14="Código",(S51+T51+U51+Y51)*9.45%*-1,(S51+T51+U51+Y51)*11.45%*-1)</f>
        <v>-288.48389500000002</v>
      </c>
      <c r="AN51" s="3">
        <f t="shared" si="30"/>
        <v>300</v>
      </c>
      <c r="AO51" s="4">
        <f t="shared" si="31"/>
        <v>15.220000000000006</v>
      </c>
      <c r="AP51" s="4">
        <f t="shared" si="32"/>
        <v>39.299999999999983</v>
      </c>
      <c r="AQ51" s="4">
        <f t="shared" si="33"/>
        <v>87.320000000000007</v>
      </c>
      <c r="AR51" s="4">
        <f t="shared" si="34"/>
        <v>87.289999999999992</v>
      </c>
      <c r="AS51" s="4">
        <f t="shared" si="35"/>
        <v>693.32</v>
      </c>
      <c r="AT51" s="4">
        <f t="shared" si="36"/>
        <v>25.5</v>
      </c>
      <c r="AU51" s="4">
        <f t="shared" si="37"/>
        <v>50</v>
      </c>
      <c r="AV51" s="6">
        <f t="shared" si="38"/>
        <v>0</v>
      </c>
      <c r="AW51" s="6">
        <f t="shared" si="39"/>
        <v>0</v>
      </c>
      <c r="AX51" s="6">
        <f t="shared" si="40"/>
        <v>0</v>
      </c>
      <c r="AY51" s="6">
        <f t="shared" si="22"/>
        <v>130</v>
      </c>
      <c r="AZ51" s="6">
        <f t="shared" si="41"/>
        <v>20</v>
      </c>
      <c r="BA51" s="6">
        <f t="shared" si="23"/>
        <v>0</v>
      </c>
      <c r="BB51" s="6">
        <f t="shared" si="24"/>
        <v>0</v>
      </c>
      <c r="BC51" s="6">
        <f t="shared" si="25"/>
        <v>0</v>
      </c>
      <c r="BD51" s="6">
        <f t="shared" si="42"/>
        <v>-119.97768000000002</v>
      </c>
      <c r="BF51" s="3">
        <f t="shared" si="26"/>
        <v>1327.9723200000001</v>
      </c>
      <c r="BG51" s="3">
        <f ca="1">BF51*Resumen!$P$14*((TODAY()-(A51+30))/360)</f>
        <v>134.19012741120002</v>
      </c>
    </row>
    <row r="52" spans="1:59" x14ac:dyDescent="0.25">
      <c r="A52" s="7">
        <v>44593</v>
      </c>
      <c r="B52" s="9">
        <f>IF(Resumen!$B$14="Código",IF(A52&lt;DATE(2021,7,1),Resumen!$B$7,Resumen!$B$7+300),IF(A52&lt;DATE(2022,3,1),Resumen!$B$7,Resumen!$B$7+300))</f>
        <v>1212</v>
      </c>
      <c r="C52" s="77">
        <v>9</v>
      </c>
      <c r="D52" s="78">
        <v>8</v>
      </c>
      <c r="E52" s="4">
        <f t="shared" si="14"/>
        <v>68.180000000000007</v>
      </c>
      <c r="F52" s="4">
        <f t="shared" si="15"/>
        <v>80.8</v>
      </c>
      <c r="G52" s="4">
        <f>IF(Resumen!$B$14="Código",IF(A52&lt;DATE(2021,7,1),(Resumen!$B$7*0.25%)*DATEDIF("1/1/2009",A52,"y"),IF(Resumen!$B$9="Sí",(((B52*0.03)+(VLOOKUP(YEAR(A52),Resumen!$O$7:$P$12,2,0)*0.05))*DATEDIF(MAX("1/5/2008",Resumen!$B$6),A52,"y")),(((B52*0.03)+(VLOOKUP(YEAR(A52),Resumen!$O$7:$P$12,2,0)*0.05))*DATEDIF(Resumen!$B$6,A52,"y")))),IF(A52&lt;DATE(2022,3,1),(Resumen!$B$7*0.25%)*DATEDIF("1/1/2009",A52,"y"),IF(Resumen!$B$9="Sí",(((B52*0.03)+(VLOOKUP(YEAR(A52),Resumen!$O$7:$P$12,2,0)*0.05))*DATEDIF(MAX("1/5/2008",Resumen!$B$6),A52,"y")),(((B52*0.03)+(VLOOKUP(YEAR(A52),Resumen!$O$7:$P$12,2,0)*0.05))*DATEDIF(Resumen!$B$6,A52,"y")))))</f>
        <v>39.39</v>
      </c>
      <c r="H52" s="4">
        <f t="shared" si="16"/>
        <v>116.7</v>
      </c>
      <c r="I52" s="4">
        <f t="shared" si="17"/>
        <v>116.65</v>
      </c>
      <c r="J52" s="1">
        <f>IF(Resumen!$B$14="Código",IF(A52&lt;DATE(2021,7,1),0,(0.03*(VLOOKUP(YEAR(A52),Resumen!$O$7:$P$12,2,0))*Resumen!$B$8)),IF(A52&lt;DATE(2022,3,1),0,(0.03*(VLOOKUP(YEAR(A52),Resumen!$O$7:$P$12,2,0))*Resumen!$B$8)))</f>
        <v>0</v>
      </c>
      <c r="K52" s="1">
        <f>IF(Resumen!$B$14="Código",IF(A52&lt;DATE(2021,7,1),0,50),IF(A52&lt;DATE(2022,3,1),0,50))</f>
        <v>0</v>
      </c>
      <c r="L52" s="1">
        <v>0</v>
      </c>
      <c r="M52" s="1">
        <v>0</v>
      </c>
      <c r="N52" s="1">
        <v>0</v>
      </c>
      <c r="O52" s="1">
        <v>0</v>
      </c>
      <c r="P52" s="1">
        <v>0</v>
      </c>
      <c r="Q52" s="1">
        <f>IF(Resumen!$B$14="Código",(B52+E52+F52+G52)*9.45%*-1,(B52+E52+F52+G52)*11.45%*-1)</f>
        <v>-160.342365</v>
      </c>
      <c r="R52" s="3"/>
      <c r="S52" s="9">
        <f t="shared" si="28"/>
        <v>1512</v>
      </c>
      <c r="T52" s="4">
        <f t="shared" si="18"/>
        <v>85.05</v>
      </c>
      <c r="U52" s="4">
        <f t="shared" si="19"/>
        <v>100.8</v>
      </c>
      <c r="V52" s="4">
        <f t="shared" si="20"/>
        <v>208.1</v>
      </c>
      <c r="W52" s="4">
        <f t="shared" si="21"/>
        <v>208.01</v>
      </c>
      <c r="X52" s="4">
        <f>(0.03*(VLOOKUP(YEAR(A52),Resumen!$O$7:$P$12,2,0))*Resumen!$B$8)</f>
        <v>25.5</v>
      </c>
      <c r="Y52" s="4">
        <f>(((S52*0.03)+(VLOOKUP(YEAR(A52),Resumen!$O$7:$P$12,2,0)*0.05))*DATEDIF(Resumen!$B$6,A52,"y"))</f>
        <v>799.31999999999994</v>
      </c>
      <c r="Z52" s="3">
        <v>50</v>
      </c>
      <c r="AA52" s="1">
        <f>IF(DATEDIF(Resumen!$B$6,A52,"M")/12=5,S52/2,IF(DATEDIF(Resumen!$B$6,A52,"M")/12=10,S52,IF(DATEDIF(Resumen!$B$6,A52,"M")/12=15,S52*1.5,IF(DATEDIF(Resumen!$B$6,A52,"M")/12=20,S52*2,IF(DATEDIF(Resumen!$B$6,A52,"M")/12=25,S52*2.5,IF(DATEDIF(Resumen!$B$6,A52,"M")/12=30,S52*3,0))))))</f>
        <v>0</v>
      </c>
      <c r="AB52" s="19">
        <f>(IF(Resumen!$B$20="Sí",IF(Resumen!$C$20&lt;=A52,IF(DATEDIF(Resumen!$C$20,A52,"Y")&lt;8,VLOOKUP(YEAR(A52),Resumen!$O$7:$P$12,2,0),0),0),0))+(IF(Resumen!$B$21="Sí",IF(Resumen!$C$21&lt;=A52,IF(DATEDIF(Resumen!$C$21,A52,"Y")&lt;8,VLOOKUP(YEAR(A52),Resumen!$O$7:$P$12,2,0),0),0),0))</f>
        <v>0</v>
      </c>
      <c r="AC52" s="1">
        <f>IF(MONTH(A52)=12,VLOOKUP(YEAR(A52),Resumen!$O$7:$P$12,2,0),0)</f>
        <v>0</v>
      </c>
      <c r="AD52" s="1">
        <f t="shared" si="29"/>
        <v>0</v>
      </c>
      <c r="AE52" s="19">
        <f>(IF(Resumen!$B$25="Sí",IF(DATE(YEAR(Resumen!$C$25),MONTH(Resumen!$C$25),1)=A52,1000,0)+(IF(Resumen!$B$26="Sí",IF(DATE(YEAR(Resumen!$C$26),MONTH(Resumen!$C$26),1)=A52,1000,0),0)),0))</f>
        <v>0</v>
      </c>
      <c r="AF52" s="1">
        <v>0</v>
      </c>
      <c r="AG52" s="1">
        <v>0</v>
      </c>
      <c r="AH52" s="19">
        <v>130</v>
      </c>
      <c r="AI52" s="1">
        <f>IF(MONTH(A52)=1,(VLOOKUP(YEAR(A52),Resumen!$O$7:$P$12,2,0))*3,0)</f>
        <v>0</v>
      </c>
      <c r="AJ52" s="19">
        <f>IF(MONTH(A52)=12,(15+DATEDIF(Resumen!$B$6,A52,"y"))*50,0)</f>
        <v>0</v>
      </c>
      <c r="AK52" s="5">
        <f>IF(Resumen!$B$13="No",IF(Resumen!$B$12="No",20,100),0)</f>
        <v>20</v>
      </c>
      <c r="AL52" s="1">
        <f>IF(Resumen!$B$14="Código",(S52+T52+U52+Y52)*9.45%*-1,(S52+T52+U52+Y52)*11.45%*-1)</f>
        <v>-285.92596499999996</v>
      </c>
      <c r="AN52" s="3">
        <f t="shared" si="30"/>
        <v>300</v>
      </c>
      <c r="AO52" s="4">
        <f t="shared" si="31"/>
        <v>16.86999999999999</v>
      </c>
      <c r="AP52" s="4">
        <f t="shared" si="32"/>
        <v>20</v>
      </c>
      <c r="AQ52" s="4">
        <f t="shared" si="33"/>
        <v>91.399999999999991</v>
      </c>
      <c r="AR52" s="4">
        <f t="shared" si="34"/>
        <v>91.359999999999985</v>
      </c>
      <c r="AS52" s="4">
        <f t="shared" si="35"/>
        <v>759.93</v>
      </c>
      <c r="AT52" s="4">
        <f t="shared" si="36"/>
        <v>25.5</v>
      </c>
      <c r="AU52" s="4">
        <f t="shared" si="37"/>
        <v>50</v>
      </c>
      <c r="AV52" s="6">
        <f t="shared" si="38"/>
        <v>0</v>
      </c>
      <c r="AW52" s="6">
        <f t="shared" si="39"/>
        <v>0</v>
      </c>
      <c r="AX52" s="6">
        <f t="shared" si="40"/>
        <v>0</v>
      </c>
      <c r="AY52" s="6">
        <f t="shared" si="22"/>
        <v>130</v>
      </c>
      <c r="AZ52" s="6">
        <f t="shared" si="41"/>
        <v>20</v>
      </c>
      <c r="BA52" s="6">
        <f t="shared" si="23"/>
        <v>0</v>
      </c>
      <c r="BB52" s="6">
        <f t="shared" si="24"/>
        <v>0</v>
      </c>
      <c r="BC52" s="6">
        <f t="shared" si="25"/>
        <v>0</v>
      </c>
      <c r="BD52" s="6">
        <f t="shared" si="42"/>
        <v>-125.58359999999996</v>
      </c>
      <c r="BF52" s="3">
        <f t="shared" si="26"/>
        <v>1379.4764</v>
      </c>
      <c r="BG52" s="3">
        <f ca="1">BF52*Resumen!$P$14*((TODAY()-(A52+30))/360)</f>
        <v>128.75113066666668</v>
      </c>
    </row>
    <row r="53" spans="1:59" x14ac:dyDescent="0.25">
      <c r="A53" s="7">
        <v>44621</v>
      </c>
      <c r="B53" s="9">
        <f>IF(Resumen!$B$14="Código",IF(A53&lt;DATE(2021,7,1),Resumen!$B$7,Resumen!$B$7+300),IF(A53&lt;DATE(2022,3,1),Resumen!$B$7,Resumen!$B$7+300))</f>
        <v>1512</v>
      </c>
      <c r="C53" s="79">
        <v>0</v>
      </c>
      <c r="D53" s="79">
        <v>0</v>
      </c>
      <c r="E53" s="4">
        <f t="shared" si="14"/>
        <v>0</v>
      </c>
      <c r="F53" s="4">
        <f t="shared" si="15"/>
        <v>0</v>
      </c>
      <c r="G53" s="4">
        <f>IF(Resumen!$B$14="Código",IF(A53&lt;DATE(2021,7,1),(Resumen!$B$7*0.25%)*DATEDIF("1/1/2009",A53,"y"),IF(Resumen!$B$9="Sí",(((B53*0.03)+(VLOOKUP(YEAR(A53),Resumen!$O$7:$P$12,2,0)*0.05))*DATEDIF(MAX("1/5/2008",Resumen!$B$6),A53,"y")),(((B53*0.03)+(VLOOKUP(YEAR(A53),Resumen!$O$7:$P$12,2,0)*0.05))*DATEDIF(Resumen!$B$6,A53,"y")))),IF(A53&lt;DATE(2022,3,1),(Resumen!$B$7*0.25%)*DATEDIF("1/1/2009",A53,"y"),IF(Resumen!$B$9="Sí",(((B53*0.03)+(VLOOKUP(YEAR(A53),Resumen!$O$7:$P$12,2,0)*0.05))*DATEDIF(MAX("1/5/2008",Resumen!$B$6),A53,"y")),(((B53*0.03)+(VLOOKUP(YEAR(A53),Resumen!$O$7:$P$12,2,0)*0.05))*DATEDIF(Resumen!$B$6,A53,"y")))))</f>
        <v>799.31999999999994</v>
      </c>
      <c r="H53" s="4">
        <f>ROUND((B53+E53+F53)/12,2)</f>
        <v>126</v>
      </c>
      <c r="I53" s="4">
        <f>ROUND((B53+E53+F53)*8.33%,2)</f>
        <v>125.95</v>
      </c>
      <c r="J53" s="1">
        <f>IF(Resumen!$B$14="Código",IF(A53&lt;DATE(2021,7,1),0,(0.03*(VLOOKUP(YEAR(A53),Resumen!$O$7:$P$12,2,0))*Resumen!$B$8)),IF(A53&lt;DATE(2022,3,1),0,(0.03*(VLOOKUP(YEAR(A53),Resumen!$O$7:$P$12,2,0))*Resumen!$B$8)))</f>
        <v>25.5</v>
      </c>
      <c r="K53" s="1">
        <f>IF(Resumen!$B$14="Código",IF(A53&lt;DATE(2021,7,1),0,50),IF(A53&lt;DATE(2022,3,1),0,50))</f>
        <v>50</v>
      </c>
      <c r="L53" s="1">
        <v>0</v>
      </c>
      <c r="M53" s="1">
        <v>0</v>
      </c>
      <c r="N53" s="1">
        <v>0</v>
      </c>
      <c r="O53" s="1">
        <v>0</v>
      </c>
      <c r="P53" s="1">
        <v>0</v>
      </c>
      <c r="Q53" s="1">
        <f>IF(Resumen!$B$14="Código",(B53+E53+F53)*9.45%*-1,(B53+E53+F53)*11.45%*-1)</f>
        <v>-173.124</v>
      </c>
      <c r="R53" s="3"/>
      <c r="S53" s="9">
        <f t="shared" si="28"/>
        <v>1512</v>
      </c>
      <c r="T53" s="4">
        <f t="shared" si="18"/>
        <v>0</v>
      </c>
      <c r="U53" s="4">
        <f t="shared" si="19"/>
        <v>0</v>
      </c>
      <c r="V53" s="4">
        <f>ROUND((S53+T53+U53)/12,2)</f>
        <v>126</v>
      </c>
      <c r="W53" s="4">
        <f>ROUND((S53+T53+U53)*8.33%,2)</f>
        <v>125.95</v>
      </c>
      <c r="X53" s="4">
        <f>(0.03*(VLOOKUP(YEAR(A53),Resumen!$O$7:$P$12,2,0))*Resumen!$B$8)</f>
        <v>25.5</v>
      </c>
      <c r="Y53" s="4">
        <f>(((S53*0.03)+(VLOOKUP(YEAR(A53),Resumen!$O$7:$P$12,2,0)*0.05))*DATEDIF(Resumen!$B$6,A53,"y"))</f>
        <v>799.31999999999994</v>
      </c>
      <c r="Z53" s="3">
        <v>50</v>
      </c>
      <c r="AA53" s="1">
        <f>IF(DATEDIF(Resumen!$B$6,A53,"M")/12=5,S53/2,IF(DATEDIF(Resumen!$B$6,A53,"M")/12=10,S53,IF(DATEDIF(Resumen!$B$6,A53,"M")/12=15,S53*1.5,IF(DATEDIF(Resumen!$B$6,A53,"M")/12=20,S53*2,IF(DATEDIF(Resumen!$B$6,A53,"M")/12=25,S53*2.5,IF(DATEDIF(Resumen!$B$6,A53,"M")/12=30,S53*3,0))))))</f>
        <v>0</v>
      </c>
      <c r="AB53" s="19">
        <f>(IF(Resumen!$B$20="Sí",IF(Resumen!$C$20&lt;=A53,IF(DATEDIF(Resumen!$C$20,A53,"Y")&lt;8,VLOOKUP(YEAR(A53),Resumen!$O$7:$P$12,2,0),0),0),0))+(IF(Resumen!$B$21="Sí",IF(Resumen!$C$21&lt;=A53,IF(DATEDIF(Resumen!$C$21,A53,"Y")&lt;8,VLOOKUP(YEAR(A53),Resumen!$O$7:$P$12,2,0),0),0),0))</f>
        <v>0</v>
      </c>
      <c r="AC53" s="1">
        <f>IF(MONTH(A53)=12,VLOOKUP(YEAR(A53),Resumen!$O$7:$P$12,2,0),0)</f>
        <v>0</v>
      </c>
      <c r="AD53" s="1">
        <f t="shared" si="29"/>
        <v>0</v>
      </c>
      <c r="AE53" s="19">
        <f>(IF(Resumen!$B$25="Sí",IF(DATE(YEAR(Resumen!$C$25),MONTH(Resumen!$C$25),1)=A53,1000,0)+(IF(Resumen!$B$26="Sí",IF(DATE(YEAR(Resumen!$C$26),MONTH(Resumen!$C$26),1)=A53,1000,0),0)),0))</f>
        <v>0</v>
      </c>
      <c r="AF53" s="1">
        <v>0</v>
      </c>
      <c r="AG53" s="1">
        <v>0</v>
      </c>
      <c r="AH53" s="19">
        <v>130</v>
      </c>
      <c r="AI53" s="1">
        <f>IF(MONTH(A53)=1,(VLOOKUP(YEAR(A53),Resumen!$O$7:$P$12,2,0))*3,0)</f>
        <v>0</v>
      </c>
      <c r="AJ53" s="19">
        <f>IF(MONTH(A53)=12,(15+DATEDIF(Resumen!$B$6,A53,"y"))*50,0)</f>
        <v>0</v>
      </c>
      <c r="AK53" s="5">
        <f>IF(Resumen!$B$13="No",IF(Resumen!$B$12="No",20,100),0)</f>
        <v>20</v>
      </c>
      <c r="AL53" s="1">
        <f>IF(Resumen!$B$14="Código",(S53+T53+U53)*9.45%*-1,(S53+T53+U53)*11.45%*-1)</f>
        <v>-173.124</v>
      </c>
      <c r="AN53" s="3">
        <f t="shared" si="30"/>
        <v>0</v>
      </c>
      <c r="AO53" s="4">
        <f t="shared" si="31"/>
        <v>0</v>
      </c>
      <c r="AP53" s="4">
        <f t="shared" si="32"/>
        <v>0</v>
      </c>
      <c r="AQ53" s="4">
        <f t="shared" si="33"/>
        <v>0</v>
      </c>
      <c r="AR53" s="4">
        <f t="shared" si="34"/>
        <v>0</v>
      </c>
      <c r="AS53" s="4">
        <f t="shared" si="35"/>
        <v>0</v>
      </c>
      <c r="AT53" s="4">
        <f t="shared" si="36"/>
        <v>0</v>
      </c>
      <c r="AU53" s="4">
        <f t="shared" si="37"/>
        <v>0</v>
      </c>
      <c r="AV53" s="6">
        <f t="shared" si="38"/>
        <v>0</v>
      </c>
      <c r="AW53" s="6">
        <f t="shared" si="39"/>
        <v>0</v>
      </c>
      <c r="AX53" s="6">
        <f t="shared" si="40"/>
        <v>0</v>
      </c>
      <c r="AY53" s="6">
        <f t="shared" si="22"/>
        <v>130</v>
      </c>
      <c r="AZ53" s="6">
        <f t="shared" si="41"/>
        <v>20</v>
      </c>
      <c r="BA53" s="6">
        <f t="shared" si="23"/>
        <v>0</v>
      </c>
      <c r="BB53" s="6">
        <f t="shared" si="24"/>
        <v>0</v>
      </c>
      <c r="BC53" s="6">
        <f t="shared" si="25"/>
        <v>0</v>
      </c>
      <c r="BD53" s="6">
        <f t="shared" si="42"/>
        <v>0</v>
      </c>
      <c r="BF53" s="3">
        <f t="shared" si="26"/>
        <v>150</v>
      </c>
      <c r="BG53" s="3">
        <f ca="1">BF53*Resumen!$P$14*((TODAY()-(A53+30))/360)</f>
        <v>12.954666666666666</v>
      </c>
    </row>
    <row r="54" spans="1:59" x14ac:dyDescent="0.25">
      <c r="A54" s="7">
        <v>44652</v>
      </c>
      <c r="B54" s="9">
        <f>IF(Resumen!$B$14="Código",IF(A54&lt;DATE(2021,7,1),Resumen!$B$7,Resumen!$B$7+300),IF(A54&lt;DATE(2022,3,1),Resumen!$B$7,Resumen!$B$7+300))</f>
        <v>1512</v>
      </c>
      <c r="C54" s="77">
        <v>0</v>
      </c>
      <c r="D54" s="77">
        <v>0</v>
      </c>
      <c r="E54" s="4">
        <f t="shared" si="14"/>
        <v>0</v>
      </c>
      <c r="F54" s="4">
        <f t="shared" si="15"/>
        <v>0</v>
      </c>
      <c r="G54" s="4">
        <f>IF(Resumen!$B$14="Código",IF(A54&lt;DATE(2021,7,1),(Resumen!$B$7*0.25%)*DATEDIF("1/1/2009",A54,"y"),IF(Resumen!$B$9="Sí",(((B54*0.03)+(VLOOKUP(YEAR(A54),Resumen!$O$7:$P$12,2,0)*0.05))*DATEDIF(MAX("1/5/2008",Resumen!$B$6),A54,"y")),(((B54*0.03)+(VLOOKUP(YEAR(A54),Resumen!$O$7:$P$12,2,0)*0.05))*DATEDIF(Resumen!$B$6,A54,"y")))),IF(A54&lt;DATE(2022,3,1),(Resumen!$B$7*0.25%)*DATEDIF("1/1/2009",A54,"y"),IF(Resumen!$B$9="Sí",(((B54*0.03)+(VLOOKUP(YEAR(A54),Resumen!$O$7:$P$12,2,0)*0.05))*DATEDIF(MAX("1/5/2008",Resumen!$B$6),A54,"y")),(((B54*0.03)+(VLOOKUP(YEAR(A54),Resumen!$O$7:$P$12,2,0)*0.05))*DATEDIF(Resumen!$B$6,A54,"y")))))</f>
        <v>799.31999999999994</v>
      </c>
      <c r="H54" s="4">
        <f t="shared" ref="H54:H61" si="43">ROUND((B54+E54+F54)/12,2)</f>
        <v>126</v>
      </c>
      <c r="I54" s="4">
        <f t="shared" ref="I54:I61" si="44">ROUND((B54+E54+F54)*8.33%,2)</f>
        <v>125.95</v>
      </c>
      <c r="J54" s="1">
        <f>IF(Resumen!$B$14="Código",IF(A54&lt;DATE(2021,7,1),0,(0.03*(VLOOKUP(YEAR(A54),Resumen!$O$7:$P$12,2,0))*Resumen!$B$8)),IF(A54&lt;DATE(2022,3,1),0,(0.03*(VLOOKUP(YEAR(A54),Resumen!$O$7:$P$12,2,0))*Resumen!$B$8)))</f>
        <v>25.5</v>
      </c>
      <c r="K54" s="1">
        <f>IF(Resumen!$B$14="Código",IF(A54&lt;DATE(2021,7,1),0,50),IF(A54&lt;DATE(2022,3,1),0,50))</f>
        <v>50</v>
      </c>
      <c r="L54" s="1">
        <v>0</v>
      </c>
      <c r="M54" s="1">
        <v>0</v>
      </c>
      <c r="N54" s="1">
        <v>0</v>
      </c>
      <c r="O54" s="1">
        <v>0</v>
      </c>
      <c r="P54" s="1">
        <v>0</v>
      </c>
      <c r="Q54" s="1">
        <f>IF(Resumen!$B$14="Código",(B54+E54+F54)*9.45%*-1,(B54+E54+F54)*11.45%*-1)</f>
        <v>-173.124</v>
      </c>
      <c r="R54" s="3"/>
      <c r="S54" s="9">
        <f t="shared" si="28"/>
        <v>1512</v>
      </c>
      <c r="T54" s="4">
        <f t="shared" si="18"/>
        <v>0</v>
      </c>
      <c r="U54" s="4">
        <f t="shared" si="19"/>
        <v>0</v>
      </c>
      <c r="V54" s="4">
        <f t="shared" ref="V54:V61" si="45">ROUND((S54+T54+U54)/12,2)</f>
        <v>126</v>
      </c>
      <c r="W54" s="4">
        <f t="shared" ref="W54:W61" si="46">ROUND((S54+T54+U54)*8.33%,2)</f>
        <v>125.95</v>
      </c>
      <c r="X54" s="4">
        <f>(0.03*(VLOOKUP(YEAR(A54),Resumen!$O$7:$P$12,2,0))*Resumen!$B$8)</f>
        <v>25.5</v>
      </c>
      <c r="Y54" s="4">
        <f>(((S54*0.03)+(VLOOKUP(YEAR(A54),Resumen!$O$7:$P$12,2,0)*0.05))*DATEDIF(Resumen!$B$6,A54,"y"))</f>
        <v>799.31999999999994</v>
      </c>
      <c r="Z54" s="3">
        <v>50</v>
      </c>
      <c r="AA54" s="1">
        <f>IF(DATEDIF(Resumen!$B$6,A54,"M")/12=5,S54/2,IF(DATEDIF(Resumen!$B$6,A54,"M")/12=10,S54,IF(DATEDIF(Resumen!$B$6,A54,"M")/12=15,S54*1.5,IF(DATEDIF(Resumen!$B$6,A54,"M")/12=20,S54*2,IF(DATEDIF(Resumen!$B$6,A54,"M")/12=25,S54*2.5,IF(DATEDIF(Resumen!$B$6,A54,"M")/12=30,S54*3,0))))))</f>
        <v>0</v>
      </c>
      <c r="AB54" s="19">
        <f>(IF(Resumen!$B$20="Sí",IF(Resumen!$C$20&lt;=A54,IF(DATEDIF(Resumen!$C$20,A54,"Y")&lt;8,VLOOKUP(YEAR(A54),Resumen!$O$7:$P$12,2,0),0),0),0))+(IF(Resumen!$B$21="Sí",IF(Resumen!$C$21&lt;=A54,IF(DATEDIF(Resumen!$C$21,A54,"Y")&lt;8,VLOOKUP(YEAR(A54),Resumen!$O$7:$P$12,2,0),0),0),0))</f>
        <v>0</v>
      </c>
      <c r="AC54" s="1">
        <f>IF(MONTH(A54)=12,VLOOKUP(YEAR(A54),Resumen!$O$7:$P$12,2,0),0)</f>
        <v>0</v>
      </c>
      <c r="AD54" s="1">
        <f t="shared" si="29"/>
        <v>0</v>
      </c>
      <c r="AE54" s="19">
        <f>(IF(Resumen!$B$25="Sí",IF(DATE(YEAR(Resumen!$C$25),MONTH(Resumen!$C$25),1)=A54,1000,0)+(IF(Resumen!$B$26="Sí",IF(DATE(YEAR(Resumen!$C$26),MONTH(Resumen!$C$26),1)=A54,1000,0),0)),0))</f>
        <v>0</v>
      </c>
      <c r="AF54" s="1">
        <v>0</v>
      </c>
      <c r="AG54" s="1">
        <v>0</v>
      </c>
      <c r="AH54" s="19">
        <v>130</v>
      </c>
      <c r="AI54" s="1">
        <f>IF(MONTH(A54)=1,(VLOOKUP(YEAR(A54),Resumen!$O$7:$P$12,2,0))*3,0)</f>
        <v>0</v>
      </c>
      <c r="AJ54" s="19">
        <f>IF(MONTH(A54)=12,(15+DATEDIF(Resumen!$B$6,A54,"y"))*50,0)</f>
        <v>0</v>
      </c>
      <c r="AK54" s="5">
        <f>IF(Resumen!$B$13="No",IF(Resumen!$B$12="No",20,100),0)</f>
        <v>20</v>
      </c>
      <c r="AL54" s="1">
        <f>IF(Resumen!$B$14="Código",(S54+T54+U54)*9.45%*-1,(S54+T54+U54)*11.45%*-1)</f>
        <v>-173.124</v>
      </c>
      <c r="AN54" s="3">
        <f t="shared" si="30"/>
        <v>0</v>
      </c>
      <c r="AO54" s="4">
        <f t="shared" si="31"/>
        <v>0</v>
      </c>
      <c r="AP54" s="4">
        <f t="shared" si="32"/>
        <v>0</v>
      </c>
      <c r="AQ54" s="4">
        <f t="shared" si="33"/>
        <v>0</v>
      </c>
      <c r="AR54" s="4">
        <f t="shared" si="34"/>
        <v>0</v>
      </c>
      <c r="AS54" s="4">
        <f t="shared" si="35"/>
        <v>0</v>
      </c>
      <c r="AT54" s="4">
        <f t="shared" si="36"/>
        <v>0</v>
      </c>
      <c r="AU54" s="4">
        <f t="shared" si="37"/>
        <v>0</v>
      </c>
      <c r="AV54" s="6">
        <f t="shared" si="38"/>
        <v>0</v>
      </c>
      <c r="AW54" s="6">
        <f t="shared" si="39"/>
        <v>0</v>
      </c>
      <c r="AX54" s="6">
        <f t="shared" si="40"/>
        <v>0</v>
      </c>
      <c r="AY54" s="6">
        <f t="shared" si="22"/>
        <v>130</v>
      </c>
      <c r="AZ54" s="6">
        <f t="shared" si="41"/>
        <v>20</v>
      </c>
      <c r="BA54" s="6">
        <f t="shared" si="23"/>
        <v>0</v>
      </c>
      <c r="BB54" s="6">
        <f t="shared" si="24"/>
        <v>0</v>
      </c>
      <c r="BC54" s="6">
        <f t="shared" si="25"/>
        <v>0</v>
      </c>
      <c r="BD54" s="6">
        <f t="shared" si="42"/>
        <v>0</v>
      </c>
      <c r="BF54" s="3">
        <f t="shared" si="26"/>
        <v>150</v>
      </c>
      <c r="BG54" s="3">
        <f ca="1">BF54*Resumen!$P$14*((TODAY()-(A54+30))/360)</f>
        <v>11.797333333333333</v>
      </c>
    </row>
    <row r="55" spans="1:59" x14ac:dyDescent="0.25">
      <c r="A55" s="7">
        <v>44682</v>
      </c>
      <c r="B55" s="9">
        <f>IF(Resumen!$B$14="Código",IF(A55&lt;DATE(2021,7,1),Resumen!$B$7,Resumen!$B$7+300),IF(A55&lt;DATE(2022,3,1),Resumen!$B$7,Resumen!$B$7+300))</f>
        <v>1512</v>
      </c>
      <c r="C55" s="77">
        <v>9</v>
      </c>
      <c r="D55" s="77">
        <v>16</v>
      </c>
      <c r="E55" s="4">
        <f t="shared" si="14"/>
        <v>85.05</v>
      </c>
      <c r="F55" s="4">
        <f t="shared" si="15"/>
        <v>201.6</v>
      </c>
      <c r="G55" s="4">
        <f>IF(Resumen!$B$14="Código",IF(A55&lt;DATE(2021,7,1),(Resumen!$B$7*0.25%)*DATEDIF("1/1/2009",A55,"y"),IF(Resumen!$B$9="Sí",(((B55*0.03)+(VLOOKUP(YEAR(A55),Resumen!$O$7:$P$12,2,0)*0.05))*DATEDIF(MAX("1/5/2008",Resumen!$B$6),A55,"y")),(((B55*0.03)+(VLOOKUP(YEAR(A55),Resumen!$O$7:$P$12,2,0)*0.05))*DATEDIF(Resumen!$B$6,A55,"y")))),IF(A55&lt;DATE(2022,3,1),(Resumen!$B$7*0.25%)*DATEDIF("1/1/2009",A55,"y"),IF(Resumen!$B$9="Sí",(((B55*0.03)+(VLOOKUP(YEAR(A55),Resumen!$O$7:$P$12,2,0)*0.05))*DATEDIF(MAX("1/5/2008",Resumen!$B$6),A55,"y")),(((B55*0.03)+(VLOOKUP(YEAR(A55),Resumen!$O$7:$P$12,2,0)*0.05))*DATEDIF(Resumen!$B$6,A55,"y")))))</f>
        <v>799.31999999999994</v>
      </c>
      <c r="H55" s="4">
        <f t="shared" si="43"/>
        <v>149.88999999999999</v>
      </c>
      <c r="I55" s="4">
        <f t="shared" si="44"/>
        <v>149.83000000000001</v>
      </c>
      <c r="J55" s="1">
        <f>IF(Resumen!$B$14="Código",IF(A55&lt;DATE(2021,7,1),0,(0.03*(VLOOKUP(YEAR(A55),Resumen!$O$7:$P$12,2,0))*Resumen!$B$8)),IF(A55&lt;DATE(2022,3,1),0,(0.03*(VLOOKUP(YEAR(A55),Resumen!$O$7:$P$12,2,0))*Resumen!$B$8)))</f>
        <v>25.5</v>
      </c>
      <c r="K55" s="1">
        <f>IF(Resumen!$B$14="Código",IF(A55&lt;DATE(2021,7,1),0,50),IF(A55&lt;DATE(2022,3,1),0,50))</f>
        <v>50</v>
      </c>
      <c r="L55" s="1">
        <v>0</v>
      </c>
      <c r="M55" s="1">
        <v>0</v>
      </c>
      <c r="N55" s="1">
        <v>0</v>
      </c>
      <c r="O55" s="1">
        <v>0</v>
      </c>
      <c r="P55" s="1">
        <v>0</v>
      </c>
      <c r="Q55" s="1">
        <f>IF(Resumen!$B$14="Código",(B55+E55+F55)*9.45%*-1,(B55+E55+F55)*11.45%*-1)</f>
        <v>-205.94542499999997</v>
      </c>
      <c r="R55" s="3"/>
      <c r="S55" s="9">
        <f t="shared" si="28"/>
        <v>1512</v>
      </c>
      <c r="T55" s="4">
        <f t="shared" si="18"/>
        <v>85.05</v>
      </c>
      <c r="U55" s="4">
        <f t="shared" si="19"/>
        <v>201.6</v>
      </c>
      <c r="V55" s="4">
        <f t="shared" si="45"/>
        <v>149.88999999999999</v>
      </c>
      <c r="W55" s="4">
        <f t="shared" si="46"/>
        <v>149.83000000000001</v>
      </c>
      <c r="X55" s="4">
        <f>(0.03*(VLOOKUP(YEAR(A55),Resumen!$O$7:$P$12,2,0))*Resumen!$B$8)</f>
        <v>25.5</v>
      </c>
      <c r="Y55" s="4">
        <f>(((S55*0.03)+(VLOOKUP(YEAR(A55),Resumen!$O$7:$P$12,2,0)*0.05))*DATEDIF(Resumen!$B$6,A55,"y"))</f>
        <v>799.31999999999994</v>
      </c>
      <c r="Z55" s="3">
        <v>50</v>
      </c>
      <c r="AA55" s="1">
        <f>IF(DATEDIF(Resumen!$B$6,A55,"M")/12=5,S55/2,IF(DATEDIF(Resumen!$B$6,A55,"M")/12=10,S55,IF(DATEDIF(Resumen!$B$6,A55,"M")/12=15,S55*1.5,IF(DATEDIF(Resumen!$B$6,A55,"M")/12=20,S55*2,IF(DATEDIF(Resumen!$B$6,A55,"M")/12=25,S55*2.5,IF(DATEDIF(Resumen!$B$6,A55,"M")/12=30,S55*3,0))))))</f>
        <v>0</v>
      </c>
      <c r="AB55" s="19">
        <f>(IF(Resumen!$B$20="Sí",IF(Resumen!$C$20&lt;=A55,IF(DATEDIF(Resumen!$C$20,A55,"Y")&lt;8,VLOOKUP(YEAR(A55),Resumen!$O$7:$P$12,2,0),0),0),0))+(IF(Resumen!$B$21="Sí",IF(Resumen!$C$21&lt;=A55,IF(DATEDIF(Resumen!$C$21,A55,"Y")&lt;8,VLOOKUP(YEAR(A55),Resumen!$O$7:$P$12,2,0),0),0),0))</f>
        <v>0</v>
      </c>
      <c r="AC55" s="1">
        <f>IF(MONTH(A55)=12,VLOOKUP(YEAR(A55),Resumen!$O$7:$P$12,2,0),0)</f>
        <v>0</v>
      </c>
      <c r="AD55" s="1">
        <f t="shared" si="29"/>
        <v>0</v>
      </c>
      <c r="AE55" s="19">
        <f>(IF(Resumen!$B$25="Sí",IF(DATE(YEAR(Resumen!$C$25),MONTH(Resumen!$C$25),1)=A55,1000,0)+(IF(Resumen!$B$26="Sí",IF(DATE(YEAR(Resumen!$C$26),MONTH(Resumen!$C$26),1)=A55,1000,0),0)),0))</f>
        <v>0</v>
      </c>
      <c r="AF55" s="1">
        <v>0</v>
      </c>
      <c r="AG55" s="1">
        <v>0</v>
      </c>
      <c r="AH55" s="19">
        <v>130</v>
      </c>
      <c r="AI55" s="1">
        <f>IF(MONTH(A55)=1,(VLOOKUP(YEAR(A55),Resumen!$O$7:$P$12,2,0))*3,0)</f>
        <v>0</v>
      </c>
      <c r="AJ55" s="19">
        <f>IF(MONTH(A55)=12,(15+DATEDIF(Resumen!$B$6,A55,"y"))*50,0)</f>
        <v>0</v>
      </c>
      <c r="AK55" s="5">
        <f>IF(Resumen!$B$13="No",IF(Resumen!$B$12="No",20,100),0)</f>
        <v>20</v>
      </c>
      <c r="AL55" s="1">
        <f>IF(Resumen!$B$14="Código",(S55+T55+U55)*9.45%*-1,(S55+T55+U55)*11.45%*-1)</f>
        <v>-205.94542499999997</v>
      </c>
      <c r="AN55" s="3">
        <f t="shared" si="30"/>
        <v>0</v>
      </c>
      <c r="AO55" s="4">
        <f t="shared" si="31"/>
        <v>0</v>
      </c>
      <c r="AP55" s="4">
        <f t="shared" si="32"/>
        <v>0</v>
      </c>
      <c r="AQ55" s="4">
        <f t="shared" si="33"/>
        <v>0</v>
      </c>
      <c r="AR55" s="4">
        <f t="shared" si="34"/>
        <v>0</v>
      </c>
      <c r="AS55" s="4">
        <f t="shared" si="35"/>
        <v>0</v>
      </c>
      <c r="AT55" s="4">
        <f t="shared" si="36"/>
        <v>0</v>
      </c>
      <c r="AU55" s="4">
        <f t="shared" si="37"/>
        <v>0</v>
      </c>
      <c r="AV55" s="6">
        <f t="shared" si="38"/>
        <v>0</v>
      </c>
      <c r="AW55" s="6">
        <f t="shared" si="39"/>
        <v>0</v>
      </c>
      <c r="AX55" s="6">
        <f t="shared" si="40"/>
        <v>0</v>
      </c>
      <c r="AY55" s="6">
        <f t="shared" si="22"/>
        <v>130</v>
      </c>
      <c r="AZ55" s="6">
        <f t="shared" si="41"/>
        <v>20</v>
      </c>
      <c r="BA55" s="6">
        <f t="shared" si="23"/>
        <v>0</v>
      </c>
      <c r="BB55" s="6">
        <f t="shared" si="24"/>
        <v>0</v>
      </c>
      <c r="BC55" s="6">
        <f t="shared" si="25"/>
        <v>0</v>
      </c>
      <c r="BD55" s="6">
        <f t="shared" si="42"/>
        <v>0</v>
      </c>
      <c r="BF55" s="3">
        <f t="shared" si="26"/>
        <v>150</v>
      </c>
      <c r="BG55" s="3">
        <f ca="1">BF55*Resumen!$P$14*((TODAY()-(A55+30))/360)</f>
        <v>10.677333333333332</v>
      </c>
    </row>
    <row r="56" spans="1:59" x14ac:dyDescent="0.25">
      <c r="A56" s="7">
        <v>44713</v>
      </c>
      <c r="B56" s="9">
        <f>IF(Resumen!$B$14="Código",IF(A56&lt;DATE(2021,7,1),Resumen!$B$7,Resumen!$B$7+300),IF(A56&lt;DATE(2022,3,1),Resumen!$B$7,Resumen!$B$7+300))</f>
        <v>1512</v>
      </c>
      <c r="C56" s="77">
        <v>9</v>
      </c>
      <c r="D56" s="77">
        <v>13.72</v>
      </c>
      <c r="E56" s="4">
        <f t="shared" si="14"/>
        <v>85.05</v>
      </c>
      <c r="F56" s="4">
        <f>ROUND((B56/30/8)*2*D56,2)</f>
        <v>172.87</v>
      </c>
      <c r="G56" s="4">
        <f>IF(Resumen!$B$14="Código",IF(A56&lt;DATE(2021,7,1),(Resumen!$B$7*0.25%)*DATEDIF("1/1/2009",A56,"y"),IF(Resumen!$B$9="Sí",(((B56*0.03)+(VLOOKUP(YEAR(A56),Resumen!$O$7:$P$12,2,0)*0.05))*DATEDIF(MAX("1/5/2008",Resumen!$B$6),A56,"y")),(((B56*0.03)+(VLOOKUP(YEAR(A56),Resumen!$O$7:$P$12,2,0)*0.05))*DATEDIF(Resumen!$B$6,A56,"y")))),IF(A56&lt;DATE(2022,3,1),(Resumen!$B$7*0.25%)*DATEDIF("1/1/2009",A56,"y"),IF(Resumen!$B$9="Sí",(((B56*0.03)+(VLOOKUP(YEAR(A56),Resumen!$O$7:$P$12,2,0)*0.05))*DATEDIF(MAX("1/5/2008",Resumen!$B$6),A56,"y")),(((B56*0.03)+(VLOOKUP(YEAR(A56),Resumen!$O$7:$P$12,2,0)*0.05))*DATEDIF(Resumen!$B$6,A56,"y")))))</f>
        <v>799.31999999999994</v>
      </c>
      <c r="H56" s="4">
        <f t="shared" si="43"/>
        <v>147.49</v>
      </c>
      <c r="I56" s="4">
        <f t="shared" si="44"/>
        <v>147.43</v>
      </c>
      <c r="J56" s="1">
        <f>IF(Resumen!$B$14="Código",IF(A56&lt;DATE(2021,7,1),0,(0.03*(VLOOKUP(YEAR(A56),Resumen!$O$7:$P$12,2,0))*Resumen!$B$8)),IF(A56&lt;DATE(2022,3,1),0,(0.03*(VLOOKUP(YEAR(A56),Resumen!$O$7:$P$12,2,0))*Resumen!$B$8)))</f>
        <v>25.5</v>
      </c>
      <c r="K56" s="1">
        <f>IF(Resumen!$B$14="Código",IF(A56&lt;DATE(2021,7,1),0,50),IF(A56&lt;DATE(2022,3,1),0,50))</f>
        <v>50</v>
      </c>
      <c r="L56" s="1">
        <v>0</v>
      </c>
      <c r="M56" s="1">
        <v>0</v>
      </c>
      <c r="N56" s="1">
        <v>0</v>
      </c>
      <c r="O56" s="1">
        <v>0</v>
      </c>
      <c r="P56" s="1">
        <v>0</v>
      </c>
      <c r="Q56" s="1">
        <f>IF(Resumen!$B$14="Código",(B56+E56+F56)*9.45%*-1,(B56+E56+F56)*11.45%*-1)</f>
        <v>-202.65583999999998</v>
      </c>
      <c r="R56" s="3"/>
      <c r="S56" s="9">
        <f t="shared" si="28"/>
        <v>1512</v>
      </c>
      <c r="T56" s="4">
        <f t="shared" si="18"/>
        <v>85.05</v>
      </c>
      <c r="U56" s="4">
        <f t="shared" si="19"/>
        <v>172.87</v>
      </c>
      <c r="V56" s="4">
        <f t="shared" si="45"/>
        <v>147.49</v>
      </c>
      <c r="W56" s="4">
        <f t="shared" si="46"/>
        <v>147.43</v>
      </c>
      <c r="X56" s="4">
        <f>(0.03*(VLOOKUP(YEAR(A56),Resumen!$O$7:$P$12,2,0))*Resumen!$B$8)</f>
        <v>25.5</v>
      </c>
      <c r="Y56" s="4">
        <f>(((S56*0.03)+(VLOOKUP(YEAR(A56),Resumen!$O$7:$P$12,2,0)*0.05))*DATEDIF(Resumen!$B$6,A56,"y"))</f>
        <v>799.31999999999994</v>
      </c>
      <c r="Z56" s="3">
        <v>50</v>
      </c>
      <c r="AA56" s="1">
        <f>IF(DATEDIF(Resumen!$B$6,A56,"M")/12=5,S56/2,IF(DATEDIF(Resumen!$B$6,A56,"M")/12=10,S56,IF(DATEDIF(Resumen!$B$6,A56,"M")/12=15,S56*1.5,IF(DATEDIF(Resumen!$B$6,A56,"M")/12=20,S56*2,IF(DATEDIF(Resumen!$B$6,A56,"M")/12=25,S56*2.5,IF(DATEDIF(Resumen!$B$6,A56,"M")/12=30,S56*3,0))))))</f>
        <v>0</v>
      </c>
      <c r="AB56" s="19">
        <f>(IF(Resumen!$B$20="Sí",IF(Resumen!$C$20&lt;=A56,IF(DATEDIF(Resumen!$C$20,A56,"Y")&lt;8,VLOOKUP(YEAR(A56),Resumen!$O$7:$P$12,2,0),0),0),0))+(IF(Resumen!$B$21="Sí",IF(Resumen!$C$21&lt;=A56,IF(DATEDIF(Resumen!$C$21,A56,"Y")&lt;8,VLOOKUP(YEAR(A56),Resumen!$O$7:$P$12,2,0),0),0),0))</f>
        <v>0</v>
      </c>
      <c r="AC56" s="1">
        <f>IF(MONTH(A56)=12,VLOOKUP(YEAR(A56),Resumen!$O$7:$P$12,2,0),0)</f>
        <v>0</v>
      </c>
      <c r="AD56" s="1">
        <f t="shared" si="29"/>
        <v>0</v>
      </c>
      <c r="AE56" s="19">
        <f>(IF(Resumen!$B$25="Sí",IF(DATE(YEAR(Resumen!$C$25),MONTH(Resumen!$C$25),1)=A56,1000,0)+(IF(Resumen!$B$26="Sí",IF(DATE(YEAR(Resumen!$C$26),MONTH(Resumen!$C$26),1)=A56,1000,0),0)),0))</f>
        <v>0</v>
      </c>
      <c r="AF56" s="1">
        <v>0</v>
      </c>
      <c r="AG56" s="1">
        <v>0</v>
      </c>
      <c r="AH56" s="19">
        <v>130</v>
      </c>
      <c r="AI56" s="1">
        <f>IF(MONTH(A56)=1,(VLOOKUP(YEAR(A56),Resumen!$O$7:$P$12,2,0))*3,0)</f>
        <v>0</v>
      </c>
      <c r="AJ56" s="19">
        <f>IF(MONTH(A56)=12,(15+DATEDIF(Resumen!$B$6,A56,"y"))*50,0)</f>
        <v>0</v>
      </c>
      <c r="AK56" s="5">
        <f>IF(Resumen!$B$13="No",IF(Resumen!$B$12="No",20,100),0)</f>
        <v>20</v>
      </c>
      <c r="AL56" s="1">
        <f>IF(Resumen!$B$14="Código",(S56+T56+U56)*9.45%*-1,(S56+T56+U56)*11.45%*-1)</f>
        <v>-202.65583999999998</v>
      </c>
      <c r="AN56" s="3">
        <f t="shared" si="30"/>
        <v>0</v>
      </c>
      <c r="AO56" s="4">
        <f t="shared" si="31"/>
        <v>0</v>
      </c>
      <c r="AP56" s="4">
        <f t="shared" si="32"/>
        <v>0</v>
      </c>
      <c r="AQ56" s="4">
        <f t="shared" si="33"/>
        <v>0</v>
      </c>
      <c r="AR56" s="4">
        <f t="shared" si="34"/>
        <v>0</v>
      </c>
      <c r="AS56" s="4">
        <f t="shared" si="35"/>
        <v>0</v>
      </c>
      <c r="AT56" s="4">
        <f t="shared" si="36"/>
        <v>0</v>
      </c>
      <c r="AU56" s="4">
        <f t="shared" si="37"/>
        <v>0</v>
      </c>
      <c r="AV56" s="6">
        <f t="shared" si="38"/>
        <v>0</v>
      </c>
      <c r="AW56" s="6">
        <f t="shared" si="39"/>
        <v>0</v>
      </c>
      <c r="AX56" s="6">
        <f t="shared" si="40"/>
        <v>0</v>
      </c>
      <c r="AY56" s="6">
        <f t="shared" si="22"/>
        <v>130</v>
      </c>
      <c r="AZ56" s="6">
        <f t="shared" si="41"/>
        <v>20</v>
      </c>
      <c r="BA56" s="6">
        <f t="shared" si="23"/>
        <v>0</v>
      </c>
      <c r="BB56" s="6">
        <f t="shared" si="24"/>
        <v>0</v>
      </c>
      <c r="BC56" s="6">
        <f t="shared" si="25"/>
        <v>0</v>
      </c>
      <c r="BD56" s="6">
        <f t="shared" si="42"/>
        <v>0</v>
      </c>
      <c r="BF56" s="3">
        <f t="shared" si="26"/>
        <v>150</v>
      </c>
      <c r="BG56" s="3">
        <f ca="1">BF56*Resumen!$P$14*((TODAY()-(A56+30))/360)</f>
        <v>9.52</v>
      </c>
    </row>
    <row r="57" spans="1:59" x14ac:dyDescent="0.25">
      <c r="A57" s="7">
        <v>44743</v>
      </c>
      <c r="B57" s="9">
        <f>IF(Resumen!$B$14="Código",IF(A57&lt;DATE(2021,7,1),Resumen!$B$7,Resumen!$B$7+300),IF(A57&lt;DATE(2022,3,1),Resumen!$B$7,Resumen!$B$7+300))</f>
        <v>1512</v>
      </c>
      <c r="C57" s="77">
        <v>6</v>
      </c>
      <c r="D57" s="77">
        <v>6</v>
      </c>
      <c r="E57" s="4">
        <f t="shared" si="14"/>
        <v>56.7</v>
      </c>
      <c r="F57" s="4">
        <f t="shared" si="15"/>
        <v>75.599999999999994</v>
      </c>
      <c r="G57" s="4">
        <f>IF(Resumen!$B$14="Código",IF(A57&lt;DATE(2021,7,1),(Resumen!$B$7*0.25%)*DATEDIF("1/1/2009",A57,"y"),IF(Resumen!$B$9="Sí",(((B57*0.03)+(VLOOKUP(YEAR(A57),Resumen!$O$7:$P$12,2,0)*0.05))*DATEDIF(MAX("1/5/2008",Resumen!$B$6),A57,"y")),(((B57*0.03)+(VLOOKUP(YEAR(A57),Resumen!$O$7:$P$12,2,0)*0.05))*DATEDIF(Resumen!$B$6,A57,"y")))),IF(A57&lt;DATE(2022,3,1),(Resumen!$B$7*0.25%)*DATEDIF("1/1/2009",A57,"y"),IF(Resumen!$B$9="Sí",(((B57*0.03)+(VLOOKUP(YEAR(A57),Resumen!$O$7:$P$12,2,0)*0.05))*DATEDIF(MAX("1/5/2008",Resumen!$B$6),A57,"y")),(((B57*0.03)+(VLOOKUP(YEAR(A57),Resumen!$O$7:$P$12,2,0)*0.05))*DATEDIF(Resumen!$B$6,A57,"y")))))</f>
        <v>799.31999999999994</v>
      </c>
      <c r="H57" s="4">
        <f t="shared" si="43"/>
        <v>137.03</v>
      </c>
      <c r="I57" s="4">
        <f t="shared" si="44"/>
        <v>136.97</v>
      </c>
      <c r="J57" s="1">
        <f>IF(Resumen!$B$14="Código",IF(A57&lt;DATE(2021,7,1),0,(0.03*(VLOOKUP(YEAR(A57),Resumen!$O$7:$P$12,2,0))*Resumen!$B$8)),IF(A57&lt;DATE(2022,3,1),0,(0.03*(VLOOKUP(YEAR(A57),Resumen!$O$7:$P$12,2,0))*Resumen!$B$8)))</f>
        <v>25.5</v>
      </c>
      <c r="K57" s="1">
        <f>IF(Resumen!$B$14="Código",IF(A57&lt;DATE(2021,7,1),0,50),IF(A57&lt;DATE(2022,3,1),0,50))</f>
        <v>50</v>
      </c>
      <c r="L57" s="1">
        <v>0</v>
      </c>
      <c r="M57" s="1">
        <v>0</v>
      </c>
      <c r="N57" s="1">
        <v>0</v>
      </c>
      <c r="O57" s="1">
        <v>0</v>
      </c>
      <c r="P57" s="1">
        <v>0</v>
      </c>
      <c r="Q57" s="1">
        <f>IF(Resumen!$B$14="Código",(B57+E57+F57)*9.45%*-1,(B57+E57+F57)*11.45%*-1)</f>
        <v>-188.27234999999999</v>
      </c>
      <c r="R57" s="3"/>
      <c r="S57" s="9">
        <f t="shared" si="28"/>
        <v>1512</v>
      </c>
      <c r="T57" s="4">
        <f t="shared" si="18"/>
        <v>56.7</v>
      </c>
      <c r="U57" s="4">
        <f t="shared" si="19"/>
        <v>75.599999999999994</v>
      </c>
      <c r="V57" s="4">
        <f t="shared" si="45"/>
        <v>137.03</v>
      </c>
      <c r="W57" s="4">
        <f t="shared" si="46"/>
        <v>136.97</v>
      </c>
      <c r="X57" s="4">
        <f>(0.03*(VLOOKUP(YEAR(A57),Resumen!$O$7:$P$12,2,0))*Resumen!$B$8)</f>
        <v>25.5</v>
      </c>
      <c r="Y57" s="4">
        <f>(((S57*0.03)+(VLOOKUP(YEAR(A57),Resumen!$O$7:$P$12,2,0)*0.05))*DATEDIF(Resumen!$B$6,A57,"y"))</f>
        <v>799.31999999999994</v>
      </c>
      <c r="Z57" s="3">
        <v>50</v>
      </c>
      <c r="AA57" s="1">
        <f>IF(DATEDIF(Resumen!$B$6,A57,"M")/12=5,S57/2,IF(DATEDIF(Resumen!$B$6,A57,"M")/12=10,S57,IF(DATEDIF(Resumen!$B$6,A57,"M")/12=15,S57*1.5,IF(DATEDIF(Resumen!$B$6,A57,"M")/12=20,S57*2,IF(DATEDIF(Resumen!$B$6,A57,"M")/12=25,S57*2.5,IF(DATEDIF(Resumen!$B$6,A57,"M")/12=30,S57*3,0))))))</f>
        <v>0</v>
      </c>
      <c r="AB57" s="19">
        <f>(IF(Resumen!$B$20="Sí",IF(Resumen!$C$20&lt;=A57,IF(DATEDIF(Resumen!$C$20,A57,"Y")&lt;8,VLOOKUP(YEAR(A57),Resumen!$O$7:$P$12,2,0),0),0),0))+(IF(Resumen!$B$21="Sí",IF(Resumen!$C$21&lt;=A57,IF(DATEDIF(Resumen!$C$21,A57,"Y")&lt;8,VLOOKUP(YEAR(A57),Resumen!$O$7:$P$12,2,0),0),0),0))</f>
        <v>0</v>
      </c>
      <c r="AC57" s="1">
        <f>IF(MONTH(A57)=12,VLOOKUP(YEAR(A57),Resumen!$O$7:$P$12,2,0),0)</f>
        <v>0</v>
      </c>
      <c r="AD57" s="1">
        <f t="shared" si="29"/>
        <v>0</v>
      </c>
      <c r="AE57" s="19">
        <f>(IF(Resumen!$B$25="Sí",IF(DATE(YEAR(Resumen!$C$25),MONTH(Resumen!$C$25),1)=A57,1000,0)+(IF(Resumen!$B$26="Sí",IF(DATE(YEAR(Resumen!$C$26),MONTH(Resumen!$C$26),1)=A57,1000,0),0)),0))</f>
        <v>0</v>
      </c>
      <c r="AF57" s="1">
        <v>0</v>
      </c>
      <c r="AG57" s="1">
        <v>0</v>
      </c>
      <c r="AH57" s="19">
        <v>130</v>
      </c>
      <c r="AI57" s="1">
        <f>IF(MONTH(A57)=1,(VLOOKUP(YEAR(A57),Resumen!$O$7:$P$12,2,0))*3,0)</f>
        <v>0</v>
      </c>
      <c r="AJ57" s="19">
        <f>IF(MONTH(A57)=12,(15+DATEDIF(Resumen!$B$6,A57,"y"))*50,0)</f>
        <v>0</v>
      </c>
      <c r="AK57" s="5">
        <f>IF(Resumen!$B$13="No",IF(Resumen!$B$12="No",20,100),0)</f>
        <v>20</v>
      </c>
      <c r="AL57" s="1">
        <f>IF(Resumen!$B$14="Código",(S57+T57+U57)*9.45%*-1,(S57+T57+U57)*11.45%*-1)</f>
        <v>-188.27234999999999</v>
      </c>
      <c r="AN57" s="3">
        <f t="shared" si="30"/>
        <v>0</v>
      </c>
      <c r="AO57" s="4">
        <f t="shared" si="31"/>
        <v>0</v>
      </c>
      <c r="AP57" s="4">
        <f t="shared" si="32"/>
        <v>0</v>
      </c>
      <c r="AQ57" s="4">
        <f t="shared" si="33"/>
        <v>0</v>
      </c>
      <c r="AR57" s="4">
        <f t="shared" si="34"/>
        <v>0</v>
      </c>
      <c r="AS57" s="4">
        <f t="shared" si="35"/>
        <v>0</v>
      </c>
      <c r="AT57" s="4">
        <f t="shared" si="36"/>
        <v>0</v>
      </c>
      <c r="AU57" s="4">
        <f t="shared" si="37"/>
        <v>0</v>
      </c>
      <c r="AV57" s="6">
        <f t="shared" si="38"/>
        <v>0</v>
      </c>
      <c r="AW57" s="6">
        <f t="shared" si="39"/>
        <v>0</v>
      </c>
      <c r="AX57" s="6">
        <f t="shared" si="40"/>
        <v>0</v>
      </c>
      <c r="AY57" s="6">
        <f t="shared" si="22"/>
        <v>130</v>
      </c>
      <c r="AZ57" s="6">
        <f t="shared" si="41"/>
        <v>20</v>
      </c>
      <c r="BA57" s="6">
        <f t="shared" si="23"/>
        <v>0</v>
      </c>
      <c r="BB57" s="6">
        <f t="shared" si="24"/>
        <v>0</v>
      </c>
      <c r="BC57" s="6">
        <f t="shared" si="25"/>
        <v>0</v>
      </c>
      <c r="BD57" s="6">
        <f t="shared" si="42"/>
        <v>0</v>
      </c>
      <c r="BF57" s="3">
        <f t="shared" si="26"/>
        <v>150</v>
      </c>
      <c r="BG57" s="3">
        <f ca="1">BF57*Resumen!$P$14*((TODAY()-(A57+30))/360)</f>
        <v>8.4</v>
      </c>
    </row>
    <row r="58" spans="1:59" x14ac:dyDescent="0.25">
      <c r="A58" s="7">
        <v>44774</v>
      </c>
      <c r="B58" s="9">
        <f>IF(Resumen!$B$14="Código",IF(A58&lt;DATE(2021,7,1),Resumen!$B$7,Resumen!$B$7+300),IF(A58&lt;DATE(2022,3,1),Resumen!$B$7,Resumen!$B$7+300))</f>
        <v>1512</v>
      </c>
      <c r="C58" s="77">
        <v>9</v>
      </c>
      <c r="D58" s="77">
        <v>8</v>
      </c>
      <c r="E58" s="4">
        <f t="shared" si="14"/>
        <v>85.05</v>
      </c>
      <c r="F58" s="4">
        <f t="shared" si="15"/>
        <v>100.8</v>
      </c>
      <c r="G58" s="4">
        <f>IF(Resumen!$B$14="Código",IF(A58&lt;DATE(2021,7,1),(Resumen!$B$7*0.25%)*DATEDIF("1/1/2009",A58,"y"),IF(Resumen!$B$9="Sí",(((B58*0.03)+(VLOOKUP(YEAR(A58),Resumen!$O$7:$P$12,2,0)*0.05))*DATEDIF(MAX("1/5/2008",Resumen!$B$6),A58,"y")),(((B58*0.03)+(VLOOKUP(YEAR(A58),Resumen!$O$7:$P$12,2,0)*0.05))*DATEDIF(Resumen!$B$6,A58,"y")))),IF(A58&lt;DATE(2022,3,1),(Resumen!$B$7*0.25%)*DATEDIF("1/1/2009",A58,"y"),IF(Resumen!$B$9="Sí",(((B58*0.03)+(VLOOKUP(YEAR(A58),Resumen!$O$7:$P$12,2,0)*0.05))*DATEDIF(MAX("1/5/2008",Resumen!$B$6),A58,"y")),(((B58*0.03)+(VLOOKUP(YEAR(A58),Resumen!$O$7:$P$12,2,0)*0.05))*DATEDIF(Resumen!$B$6,A58,"y")))))</f>
        <v>799.31999999999994</v>
      </c>
      <c r="H58" s="4">
        <f t="shared" si="43"/>
        <v>141.49</v>
      </c>
      <c r="I58" s="4">
        <f t="shared" si="44"/>
        <v>141.43</v>
      </c>
      <c r="J58" s="1">
        <f>IF(Resumen!$B$14="Código",IF(A58&lt;DATE(2021,7,1),0,(0.03*(VLOOKUP(YEAR(A58),Resumen!$O$7:$P$12,2,0))*Resumen!$B$8)),IF(A58&lt;DATE(2022,3,1),0,(0.03*(VLOOKUP(YEAR(A58),Resumen!$O$7:$P$12,2,0))*Resumen!$B$8)))</f>
        <v>25.5</v>
      </c>
      <c r="K58" s="1">
        <f>IF(Resumen!$B$14="Código",IF(A58&lt;DATE(2021,7,1),0,50),IF(A58&lt;DATE(2022,3,1),0,50))</f>
        <v>50</v>
      </c>
      <c r="L58" s="1">
        <v>0</v>
      </c>
      <c r="M58" s="1">
        <v>0</v>
      </c>
      <c r="N58" s="1">
        <v>0</v>
      </c>
      <c r="O58" s="1">
        <v>0</v>
      </c>
      <c r="P58" s="1">
        <v>0</v>
      </c>
      <c r="Q58" s="1">
        <f>IF(Resumen!$B$14="Código",(B58+E58+F58)*9.45%*-1,(B58+E58+F58)*11.45%*-1)</f>
        <v>-194.40382499999998</v>
      </c>
      <c r="R58" s="3"/>
      <c r="S58" s="9">
        <f t="shared" si="28"/>
        <v>1512</v>
      </c>
      <c r="T58" s="4">
        <f t="shared" si="18"/>
        <v>85.05</v>
      </c>
      <c r="U58" s="4">
        <f t="shared" si="19"/>
        <v>100.8</v>
      </c>
      <c r="V58" s="4">
        <f t="shared" si="45"/>
        <v>141.49</v>
      </c>
      <c r="W58" s="4">
        <f t="shared" si="46"/>
        <v>141.43</v>
      </c>
      <c r="X58" s="4">
        <f>(0.03*(VLOOKUP(YEAR(A58),Resumen!$O$7:$P$12,2,0))*Resumen!$B$8)</f>
        <v>25.5</v>
      </c>
      <c r="Y58" s="4">
        <f>(((S58*0.03)+(VLOOKUP(YEAR(A58),Resumen!$O$7:$P$12,2,0)*0.05))*DATEDIF(Resumen!$B$6,A58,"y"))</f>
        <v>799.31999999999994</v>
      </c>
      <c r="Z58" s="3">
        <v>50</v>
      </c>
      <c r="AA58" s="1">
        <f>IF(DATEDIF(Resumen!$B$6,A58,"M")/12=5,S58/2,IF(DATEDIF(Resumen!$B$6,A58,"M")/12=10,S58,IF(DATEDIF(Resumen!$B$6,A58,"M")/12=15,S58*1.5,IF(DATEDIF(Resumen!$B$6,A58,"M")/12=20,S58*2,IF(DATEDIF(Resumen!$B$6,A58,"M")/12=25,S58*2.5,IF(DATEDIF(Resumen!$B$6,A58,"M")/12=30,S58*3,0))))))</f>
        <v>0</v>
      </c>
      <c r="AB58" s="19">
        <f>(IF(Resumen!$B$20="Sí",IF(Resumen!$C$20&lt;=A58,IF(DATEDIF(Resumen!$C$20,A58,"Y")&lt;8,VLOOKUP(YEAR(A58),Resumen!$O$7:$P$12,2,0),0),0),0))+(IF(Resumen!$B$21="Sí",IF(Resumen!$C$21&lt;=A58,IF(DATEDIF(Resumen!$C$21,A58,"Y")&lt;8,VLOOKUP(YEAR(A58),Resumen!$O$7:$P$12,2,0),0),0),0))</f>
        <v>0</v>
      </c>
      <c r="AC58" s="1">
        <f>IF(MONTH(A58)=12,VLOOKUP(YEAR(A58),Resumen!$O$7:$P$12,2,0),0)</f>
        <v>0</v>
      </c>
      <c r="AD58" s="1">
        <f t="shared" si="29"/>
        <v>0</v>
      </c>
      <c r="AE58" s="19">
        <f>(IF(Resumen!$B$25="Sí",IF(DATE(YEAR(Resumen!$C$25),MONTH(Resumen!$C$25),1)=A58,1000,0)+(IF(Resumen!$B$26="Sí",IF(DATE(YEAR(Resumen!$C$26),MONTH(Resumen!$C$26),1)=A58,1000,0),0)),0))</f>
        <v>0</v>
      </c>
      <c r="AF58" s="1">
        <v>0</v>
      </c>
      <c r="AG58" s="1">
        <v>0</v>
      </c>
      <c r="AH58" s="19">
        <v>130</v>
      </c>
      <c r="AI58" s="1">
        <f>IF(MONTH(A58)=1,(VLOOKUP(YEAR(A58),Resumen!$O$7:$P$12,2,0))*3,0)</f>
        <v>0</v>
      </c>
      <c r="AJ58" s="19">
        <f>IF(MONTH(A58)=12,(15+DATEDIF(Resumen!$B$6,A58,"y"))*50,0)</f>
        <v>0</v>
      </c>
      <c r="AK58" s="5">
        <f>IF(Resumen!$B$13="No",IF(Resumen!$B$12="No",20,100),0)</f>
        <v>20</v>
      </c>
      <c r="AL58" s="1">
        <f>IF(Resumen!$B$14="Código",(S58+T58+U58)*9.45%*-1,(S58+T58+U58)*11.45%*-1)</f>
        <v>-194.40382499999998</v>
      </c>
      <c r="AN58" s="3">
        <f t="shared" si="30"/>
        <v>0</v>
      </c>
      <c r="AO58" s="4">
        <f t="shared" si="31"/>
        <v>0</v>
      </c>
      <c r="AP58" s="4">
        <f t="shared" si="32"/>
        <v>0</v>
      </c>
      <c r="AQ58" s="4">
        <f t="shared" si="33"/>
        <v>0</v>
      </c>
      <c r="AR58" s="4">
        <f t="shared" si="34"/>
        <v>0</v>
      </c>
      <c r="AS58" s="4">
        <f t="shared" si="35"/>
        <v>0</v>
      </c>
      <c r="AT58" s="4">
        <f t="shared" si="36"/>
        <v>0</v>
      </c>
      <c r="AU58" s="4">
        <f t="shared" si="37"/>
        <v>0</v>
      </c>
      <c r="AV58" s="6">
        <f t="shared" si="38"/>
        <v>0</v>
      </c>
      <c r="AW58" s="6">
        <f t="shared" si="39"/>
        <v>0</v>
      </c>
      <c r="AX58" s="6">
        <f t="shared" si="40"/>
        <v>0</v>
      </c>
      <c r="AY58" s="6">
        <f t="shared" si="22"/>
        <v>130</v>
      </c>
      <c r="AZ58" s="6">
        <f t="shared" si="41"/>
        <v>20</v>
      </c>
      <c r="BA58" s="6">
        <f t="shared" si="23"/>
        <v>0</v>
      </c>
      <c r="BB58" s="6">
        <f t="shared" si="24"/>
        <v>0</v>
      </c>
      <c r="BC58" s="6">
        <f t="shared" si="25"/>
        <v>0</v>
      </c>
      <c r="BD58" s="6">
        <f t="shared" si="42"/>
        <v>0</v>
      </c>
      <c r="BF58" s="3">
        <f t="shared" si="26"/>
        <v>150</v>
      </c>
      <c r="BG58" s="3">
        <f ca="1">BF58*Resumen!$P$14*((TODAY()-(A58+30))/360)</f>
        <v>7.2426666666666657</v>
      </c>
    </row>
    <row r="59" spans="1:59" x14ac:dyDescent="0.25">
      <c r="A59" s="7">
        <v>44805</v>
      </c>
      <c r="B59" s="9">
        <f>IF(Resumen!$B$14="Código",IF(A59&lt;DATE(2021,7,1),Resumen!$B$7,Resumen!$B$7+300),IF(A59&lt;DATE(2022,3,1),Resumen!$B$7,Resumen!$B$7+300))</f>
        <v>1512</v>
      </c>
      <c r="C59" s="77">
        <v>12</v>
      </c>
      <c r="D59" s="77">
        <v>8</v>
      </c>
      <c r="E59" s="4">
        <f t="shared" si="14"/>
        <v>113.4</v>
      </c>
      <c r="F59" s="4">
        <f t="shared" si="15"/>
        <v>100.8</v>
      </c>
      <c r="G59" s="4">
        <f>IF(Resumen!$B$14="Código",IF(A59&lt;DATE(2021,7,1),(Resumen!$B$7*0.25%)*DATEDIF("1/1/2009",A59,"y"),IF(Resumen!$B$9="Sí",(((B59*0.03)+(VLOOKUP(YEAR(A59),Resumen!$O$7:$P$12,2,0)*0.05))*DATEDIF(MAX("1/5/2008",Resumen!$B$6),A59,"y")),(((B59*0.03)+(VLOOKUP(YEAR(A59),Resumen!$O$7:$P$12,2,0)*0.05))*DATEDIF(Resumen!$B$6,A59,"y")))),IF(A59&lt;DATE(2022,3,1),(Resumen!$B$7*0.25%)*DATEDIF("1/1/2009",A59,"y"),IF(Resumen!$B$9="Sí",(((B59*0.03)+(VLOOKUP(YEAR(A59),Resumen!$O$7:$P$12,2,0)*0.05))*DATEDIF(MAX("1/5/2008",Resumen!$B$6),A59,"y")),(((B59*0.03)+(VLOOKUP(YEAR(A59),Resumen!$O$7:$P$12,2,0)*0.05))*DATEDIF(Resumen!$B$6,A59,"y")))))</f>
        <v>799.31999999999994</v>
      </c>
      <c r="H59" s="4">
        <f t="shared" si="43"/>
        <v>143.85</v>
      </c>
      <c r="I59" s="4">
        <f t="shared" si="44"/>
        <v>143.79</v>
      </c>
      <c r="J59" s="1">
        <f>IF(Resumen!$B$14="Código",IF(A59&lt;DATE(2021,7,1),0,(0.03*(VLOOKUP(YEAR(A59),Resumen!$O$7:$P$12,2,0))*Resumen!$B$8)),IF(A59&lt;DATE(2022,3,1),0,(0.03*(VLOOKUP(YEAR(A59),Resumen!$O$7:$P$12,2,0))*Resumen!$B$8)))</f>
        <v>25.5</v>
      </c>
      <c r="K59" s="1">
        <f>IF(Resumen!$B$14="Código",IF(A59&lt;DATE(2021,7,1),0,50),IF(A59&lt;DATE(2022,3,1),0,50))</f>
        <v>50</v>
      </c>
      <c r="L59" s="1">
        <v>0</v>
      </c>
      <c r="M59" s="1">
        <v>0</v>
      </c>
      <c r="N59" s="1">
        <v>0</v>
      </c>
      <c r="O59" s="29">
        <v>10</v>
      </c>
      <c r="P59" s="1">
        <v>0</v>
      </c>
      <c r="Q59" s="1">
        <f>IF(Resumen!$B$14="LOEP",(B59+E59+F59)*11.45%*-1,(B59+E59+F59)*9.45%*-1)</f>
        <v>-163.12589999999997</v>
      </c>
      <c r="R59" s="3"/>
      <c r="S59" s="9">
        <f t="shared" si="28"/>
        <v>1512</v>
      </c>
      <c r="T59" s="4">
        <f t="shared" si="18"/>
        <v>113.4</v>
      </c>
      <c r="U59" s="4">
        <f t="shared" si="19"/>
        <v>100.8</v>
      </c>
      <c r="V59" s="4">
        <f t="shared" si="45"/>
        <v>143.85</v>
      </c>
      <c r="W59" s="4">
        <f t="shared" si="46"/>
        <v>143.79</v>
      </c>
      <c r="X59" s="4">
        <f>(0.03*(VLOOKUP(YEAR(A59),Resumen!$O$7:$P$12,2,0))*Resumen!$B$8)</f>
        <v>25.5</v>
      </c>
      <c r="Y59" s="4">
        <f>(((S59*0.03)+(VLOOKUP(YEAR(A59),Resumen!$O$7:$P$12,2,0)*0.05))*DATEDIF(Resumen!$B$6,A59,"y"))</f>
        <v>799.31999999999994</v>
      </c>
      <c r="Z59" s="3">
        <v>50</v>
      </c>
      <c r="AA59" s="1">
        <f>IF(DATEDIF(Resumen!$B$6,A59,"M")/12=5,S59/2,IF(DATEDIF(Resumen!$B$6,A59,"M")/12=10,S59,IF(DATEDIF(Resumen!$B$6,A59,"M")/12=15,S59*1.5,IF(DATEDIF(Resumen!$B$6,A59,"M")/12=20,S59*2,IF(DATEDIF(Resumen!$B$6,A59,"M")/12=25,S59*2.5,IF(DATEDIF(Resumen!$B$6,A59,"M")/12=30,S59*3,0))))))</f>
        <v>0</v>
      </c>
      <c r="AB59" s="19">
        <f>(IF(Resumen!$B$20="Sí",IF(Resumen!$C$20&lt;=A59,IF(DATEDIF(Resumen!$C$20,A59,"Y")&lt;8,VLOOKUP(YEAR(A59),Resumen!$O$7:$P$12,2,0),0),0),0))+(IF(Resumen!$B$21="Sí",IF(Resumen!$C$21&lt;=A59,IF(DATEDIF(Resumen!$C$21,A59,"Y")&lt;8,VLOOKUP(YEAR(A59),Resumen!$O$7:$P$12,2,0),0),0),0))</f>
        <v>0</v>
      </c>
      <c r="AC59" s="1">
        <f>IF(MONTH(A59)=12,VLOOKUP(YEAR(A59),Resumen!$O$7:$P$12,2,0),0)</f>
        <v>0</v>
      </c>
      <c r="AD59" s="1">
        <f t="shared" si="29"/>
        <v>0</v>
      </c>
      <c r="AE59" s="19">
        <f>(IF(Resumen!$B$25="Sí",IF(DATE(YEAR(Resumen!$C$25),MONTH(Resumen!$C$25),1)=A59,1000,0)+(IF(Resumen!$B$26="Sí",IF(DATE(YEAR(Resumen!$C$26),MONTH(Resumen!$C$26),1)=A59,1000,0),0)),0))</f>
        <v>0</v>
      </c>
      <c r="AF59" s="1">
        <v>0</v>
      </c>
      <c r="AG59" s="1">
        <v>0</v>
      </c>
      <c r="AH59" s="19">
        <v>130</v>
      </c>
      <c r="AI59" s="1">
        <f>IF(MONTH(A59)=1,(VLOOKUP(YEAR(A59),Resumen!$O$7:$P$12,2,0))*3,0)</f>
        <v>0</v>
      </c>
      <c r="AJ59" s="19">
        <f>IF(MONTH(A59)=12,(15+DATEDIF(Resumen!$B$6,A59,"y"))*50,0)</f>
        <v>0</v>
      </c>
      <c r="AK59" s="5">
        <f>IF(Resumen!$B$13="No",IF(Resumen!$B$12="No",20,100),0)</f>
        <v>20</v>
      </c>
      <c r="AL59" s="1">
        <f>IF(Resumen!$B$14="LOEP",(S59+T59+U59)*11.45%*-1,(S59+T59+U59)*9.45%*-1)</f>
        <v>-163.12589999999997</v>
      </c>
      <c r="AN59" s="3">
        <f t="shared" si="30"/>
        <v>0</v>
      </c>
      <c r="AO59" s="4">
        <f t="shared" si="31"/>
        <v>0</v>
      </c>
      <c r="AP59" s="4">
        <f t="shared" si="32"/>
        <v>0</v>
      </c>
      <c r="AQ59" s="4">
        <f t="shared" si="33"/>
        <v>0</v>
      </c>
      <c r="AR59" s="4">
        <f t="shared" si="34"/>
        <v>0</v>
      </c>
      <c r="AS59" s="4">
        <f t="shared" si="35"/>
        <v>0</v>
      </c>
      <c r="AT59" s="4">
        <f t="shared" si="36"/>
        <v>0</v>
      </c>
      <c r="AU59" s="4">
        <f t="shared" si="37"/>
        <v>0</v>
      </c>
      <c r="AV59" s="6">
        <f t="shared" si="38"/>
        <v>0</v>
      </c>
      <c r="AW59" s="6">
        <f t="shared" si="39"/>
        <v>0</v>
      </c>
      <c r="AX59" s="6">
        <f t="shared" si="40"/>
        <v>0</v>
      </c>
      <c r="AY59" s="6">
        <f t="shared" si="22"/>
        <v>130</v>
      </c>
      <c r="AZ59" s="6">
        <f t="shared" si="41"/>
        <v>10</v>
      </c>
      <c r="BA59" s="6">
        <f t="shared" si="23"/>
        <v>0</v>
      </c>
      <c r="BB59" s="6">
        <f t="shared" si="24"/>
        <v>0</v>
      </c>
      <c r="BC59" s="6">
        <f t="shared" si="25"/>
        <v>0</v>
      </c>
      <c r="BD59" s="6">
        <f t="shared" si="42"/>
        <v>0</v>
      </c>
      <c r="BF59" s="3">
        <f t="shared" si="26"/>
        <v>140</v>
      </c>
      <c r="BG59" s="3">
        <f ca="1">BF59*Resumen!$P$14*((TODAY()-(A59+30))/360)</f>
        <v>5.6796444444444445</v>
      </c>
    </row>
    <row r="60" spans="1:59" x14ac:dyDescent="0.25">
      <c r="A60" s="7">
        <v>44835</v>
      </c>
      <c r="B60" s="9">
        <f>IF(Resumen!$B$14="Código",IF(A60&lt;DATE(2021,7,1),Resumen!$B$7,Resumen!$B$7+300),IF(A60&lt;DATE(2022,3,1),Resumen!$B$7,Resumen!$B$7+300))</f>
        <v>1512</v>
      </c>
      <c r="C60" s="77">
        <v>6</v>
      </c>
      <c r="D60" s="77">
        <v>7</v>
      </c>
      <c r="E60" s="4">
        <f t="shared" si="14"/>
        <v>56.7</v>
      </c>
      <c r="F60" s="4">
        <f t="shared" si="15"/>
        <v>88.2</v>
      </c>
      <c r="G60" s="4">
        <f>IF(Resumen!$B$14="Código",IF(A60&lt;DATE(2021,7,1),(Resumen!$B$7*0.25%)*DATEDIF("1/1/2009",A60,"y"),IF(Resumen!$B$9="Sí",(((B60*0.03)+(VLOOKUP(YEAR(A60),Resumen!$O$7:$P$12,2,0)*0.05))*DATEDIF(MAX("1/5/2008",Resumen!$B$6),A60,"y")),(((B60*0.03)+(VLOOKUP(YEAR(A60),Resumen!$O$7:$P$12,2,0)*0.05))*DATEDIF(Resumen!$B$6,A60,"y")))),IF(A60&lt;DATE(2022,3,1),(Resumen!$B$7*0.25%)*DATEDIF("1/1/2009",A60,"y"),IF(Resumen!$B$9="Sí",(((B60*0.03)+(VLOOKUP(YEAR(A60),Resumen!$O$7:$P$12,2,0)*0.05))*DATEDIF(MAX("1/5/2008",Resumen!$B$6),A60,"y")),(((B60*0.03)+(VLOOKUP(YEAR(A60),Resumen!$O$7:$P$12,2,0)*0.05))*DATEDIF(Resumen!$B$6,A60,"y")))))</f>
        <v>799.31999999999994</v>
      </c>
      <c r="H60" s="4">
        <f t="shared" si="43"/>
        <v>138.08000000000001</v>
      </c>
      <c r="I60" s="4">
        <f t="shared" si="44"/>
        <v>138.02000000000001</v>
      </c>
      <c r="J60" s="1">
        <f>IF(Resumen!$B$14="Código",IF(A60&lt;DATE(2021,7,1),0,(0.03*(VLOOKUP(YEAR(A60),Resumen!$O$7:$P$12,2,0))*Resumen!$B$8)),IF(A60&lt;DATE(2022,3,1),0,(0.03*(VLOOKUP(YEAR(A60),Resumen!$O$7:$P$12,2,0))*Resumen!$B$8)))</f>
        <v>25.5</v>
      </c>
      <c r="K60" s="1">
        <f>IF(Resumen!$B$14="Código",IF(A60&lt;DATE(2021,7,1),0,50),IF(A60&lt;DATE(2022,3,1),0,50))</f>
        <v>50</v>
      </c>
      <c r="L60" s="1">
        <v>0</v>
      </c>
      <c r="M60" s="1">
        <v>0</v>
      </c>
      <c r="N60" s="1">
        <v>0</v>
      </c>
      <c r="O60" s="29">
        <v>10</v>
      </c>
      <c r="P60" s="1">
        <v>0</v>
      </c>
      <c r="Q60" s="1">
        <f>IF(Resumen!$B$14="LOEP",(B60+E60+F60)*11.45%*-1,(B60+E60+F60)*9.45%*-1)</f>
        <v>-156.57704999999999</v>
      </c>
      <c r="R60" s="3"/>
      <c r="S60" s="9">
        <f t="shared" si="28"/>
        <v>1512</v>
      </c>
      <c r="T60" s="4">
        <f t="shared" si="18"/>
        <v>56.7</v>
      </c>
      <c r="U60" s="4">
        <f t="shared" si="19"/>
        <v>88.2</v>
      </c>
      <c r="V60" s="4">
        <f t="shared" si="45"/>
        <v>138.08000000000001</v>
      </c>
      <c r="W60" s="4">
        <f t="shared" si="46"/>
        <v>138.02000000000001</v>
      </c>
      <c r="X60" s="4">
        <f>(0.03*(VLOOKUP(YEAR(A60),Resumen!$O$7:$P$12,2,0))*Resumen!$B$8)</f>
        <v>25.5</v>
      </c>
      <c r="Y60" s="4">
        <f>(((S60*0.03)+(VLOOKUP(YEAR(A60),Resumen!$O$7:$P$12,2,0)*0.05))*DATEDIF(Resumen!$B$6,A60,"y"))</f>
        <v>799.31999999999994</v>
      </c>
      <c r="Z60" s="3">
        <v>50</v>
      </c>
      <c r="AA60" s="1">
        <f>IF(DATEDIF(Resumen!$B$6,A60,"M")/12=5,S60/2,IF(DATEDIF(Resumen!$B$6,A60,"M")/12=10,S60,IF(DATEDIF(Resumen!$B$6,A60,"M")/12=15,S60*1.5,IF(DATEDIF(Resumen!$B$6,A60,"M")/12=20,S60*2,IF(DATEDIF(Resumen!$B$6,A60,"M")/12=25,S60*2.5,IF(DATEDIF(Resumen!$B$6,A60,"M")/12=30,S60*3,0))))))</f>
        <v>0</v>
      </c>
      <c r="AB60" s="19">
        <f>(IF(Resumen!$B$20="Sí",IF(Resumen!$C$20&lt;=A60,IF(DATEDIF(Resumen!$C$20,A60,"Y")&lt;8,VLOOKUP(YEAR(A60),Resumen!$O$7:$P$12,2,0),0),0),0))+(IF(Resumen!$B$21="Sí",IF(Resumen!$C$21&lt;=A60,IF(DATEDIF(Resumen!$C$21,A60,"Y")&lt;8,VLOOKUP(YEAR(A60),Resumen!$O$7:$P$12,2,0),0),0),0))</f>
        <v>0</v>
      </c>
      <c r="AC60" s="1">
        <f>IF(MONTH(A60)=12,VLOOKUP(YEAR(A60),Resumen!$O$7:$P$12,2,0),0)</f>
        <v>0</v>
      </c>
      <c r="AD60" s="1">
        <f t="shared" si="29"/>
        <v>0</v>
      </c>
      <c r="AE60" s="19">
        <f>(IF(Resumen!$B$25="Sí",IF(DATE(YEAR(Resumen!$C$25),MONTH(Resumen!$C$25),1)=A60,1000,0)+(IF(Resumen!$B$26="Sí",IF(DATE(YEAR(Resumen!$C$26),MONTH(Resumen!$C$26),1)=A60,1000,0),0)),0))</f>
        <v>0</v>
      </c>
      <c r="AF60" s="1">
        <v>0</v>
      </c>
      <c r="AG60" s="1">
        <v>0</v>
      </c>
      <c r="AH60" s="19">
        <v>130</v>
      </c>
      <c r="AI60" s="1">
        <f>IF(MONTH(A60)=1,(VLOOKUP(YEAR(A60),Resumen!$O$7:$P$12,2,0))*3,0)</f>
        <v>0</v>
      </c>
      <c r="AJ60" s="19">
        <f>IF(MONTH(A60)=12,(15+DATEDIF(Resumen!$B$6,A60,"y"))*50,0)</f>
        <v>0</v>
      </c>
      <c r="AK60" s="5">
        <f>IF(Resumen!$B$13="No",IF(Resumen!$B$12="No",20,100),0)</f>
        <v>20</v>
      </c>
      <c r="AL60" s="1">
        <f>IF(Resumen!$B$14="LOEP",(S60+T60+U60)*11.45%*-1,(S60+T60+U60)*9.45%*-1)</f>
        <v>-156.57704999999999</v>
      </c>
      <c r="AN60" s="3">
        <f t="shared" si="30"/>
        <v>0</v>
      </c>
      <c r="AO60" s="4">
        <f t="shared" si="31"/>
        <v>0</v>
      </c>
      <c r="AP60" s="4">
        <f t="shared" si="32"/>
        <v>0</v>
      </c>
      <c r="AQ60" s="4">
        <f t="shared" si="33"/>
        <v>0</v>
      </c>
      <c r="AR60" s="4">
        <f t="shared" si="34"/>
        <v>0</v>
      </c>
      <c r="AS60" s="4">
        <f t="shared" si="35"/>
        <v>0</v>
      </c>
      <c r="AT60" s="4">
        <f t="shared" si="36"/>
        <v>0</v>
      </c>
      <c r="AU60" s="4">
        <f t="shared" si="37"/>
        <v>0</v>
      </c>
      <c r="AV60" s="6">
        <f t="shared" si="38"/>
        <v>0</v>
      </c>
      <c r="AW60" s="6">
        <f t="shared" si="39"/>
        <v>0</v>
      </c>
      <c r="AX60" s="6">
        <f t="shared" si="40"/>
        <v>0</v>
      </c>
      <c r="AY60" s="6">
        <f t="shared" si="22"/>
        <v>130</v>
      </c>
      <c r="AZ60" s="6">
        <f t="shared" si="41"/>
        <v>10</v>
      </c>
      <c r="BA60" s="6">
        <f t="shared" si="23"/>
        <v>0</v>
      </c>
      <c r="BB60" s="6">
        <f t="shared" si="24"/>
        <v>0</v>
      </c>
      <c r="BC60" s="6">
        <f t="shared" si="25"/>
        <v>0</v>
      </c>
      <c r="BD60" s="6">
        <f t="shared" si="42"/>
        <v>0</v>
      </c>
      <c r="BF60" s="3">
        <f t="shared" si="26"/>
        <v>140</v>
      </c>
      <c r="BG60" s="3">
        <f ca="1">BF60*Resumen!$P$14*((TODAY()-(A60+30))/360)</f>
        <v>4.6343111111111117</v>
      </c>
    </row>
    <row r="61" spans="1:59" x14ac:dyDescent="0.25">
      <c r="A61" s="7">
        <v>44866</v>
      </c>
      <c r="B61" s="9">
        <f>IF(Resumen!$B$14="Código",IF(A61&lt;DATE(2021,7,1),Resumen!$B$7,Resumen!$B$7+300),IF(A61&lt;DATE(2022,3,1),Resumen!$B$7,Resumen!$B$7+300))</f>
        <v>1512</v>
      </c>
      <c r="C61" s="77">
        <v>12</v>
      </c>
      <c r="D61" s="77">
        <v>16</v>
      </c>
      <c r="E61" s="4">
        <f t="shared" si="14"/>
        <v>113.4</v>
      </c>
      <c r="F61" s="4">
        <f t="shared" si="15"/>
        <v>201.6</v>
      </c>
      <c r="G61" s="4">
        <f>IF(Resumen!$B$14="Código",IF(A61&lt;DATE(2021,7,1),(Resumen!$B$7*0.25%)*DATEDIF("1/1/2009",A61,"y"),IF(Resumen!$B$9="Sí",(((B61*0.03)+(VLOOKUP(YEAR(A61),Resumen!$O$7:$P$12,2,0)*0.05))*DATEDIF(MAX("1/5/2008",Resumen!$B$6),A61,"y")),(((B61*0.03)+(VLOOKUP(YEAR(A61),Resumen!$O$7:$P$12,2,0)*0.05))*DATEDIF(Resumen!$B$6,A61,"y")))),IF(A61&lt;DATE(2022,3,1),(Resumen!$B$7*0.25%)*DATEDIF("1/1/2009",A61,"y"),IF(Resumen!$B$9="Sí",(((B61*0.03)+(VLOOKUP(YEAR(A61),Resumen!$O$7:$P$12,2,0)*0.05))*DATEDIF(MAX("1/5/2008",Resumen!$B$6),A61,"y")),(((B61*0.03)+(VLOOKUP(YEAR(A61),Resumen!$O$7:$P$12,2,0)*0.05))*DATEDIF(Resumen!$B$6,A61,"y")))))</f>
        <v>799.31999999999994</v>
      </c>
      <c r="H61" s="4">
        <f t="shared" si="43"/>
        <v>152.25</v>
      </c>
      <c r="I61" s="4">
        <f t="shared" si="44"/>
        <v>152.19</v>
      </c>
      <c r="J61" s="1">
        <f>IF(Resumen!$B$14="Código",IF(A61&lt;DATE(2021,7,1),0,(0.03*(VLOOKUP(YEAR(A61),Resumen!$O$7:$P$12,2,0))*Resumen!$B$8)),IF(A61&lt;DATE(2022,3,1),0,(0.03*(VLOOKUP(YEAR(A61),Resumen!$O$7:$P$12,2,0))*Resumen!$B$8)))</f>
        <v>25.5</v>
      </c>
      <c r="K61" s="1">
        <f>IF(Resumen!$B$14="Código",IF(A61&lt;DATE(2021,7,1),0,50),IF(A61&lt;DATE(2022,3,1),0,50))</f>
        <v>50</v>
      </c>
      <c r="L61" s="1">
        <v>0</v>
      </c>
      <c r="M61" s="1">
        <v>0</v>
      </c>
      <c r="N61" s="1">
        <v>0</v>
      </c>
      <c r="O61" s="29">
        <v>10</v>
      </c>
      <c r="P61" s="1">
        <v>0</v>
      </c>
      <c r="Q61" s="1">
        <f>IF(Resumen!$B$14="LOEP",(B61+E61+F61)*11.45%*-1,(B61+E61+F61)*9.45%*-1)</f>
        <v>-172.65149999999997</v>
      </c>
      <c r="R61" s="3"/>
      <c r="S61" s="9">
        <f t="shared" si="28"/>
        <v>1512</v>
      </c>
      <c r="T61" s="4">
        <f t="shared" si="18"/>
        <v>113.4</v>
      </c>
      <c r="U61" s="4">
        <f t="shared" si="19"/>
        <v>201.6</v>
      </c>
      <c r="V61" s="4">
        <f t="shared" si="45"/>
        <v>152.25</v>
      </c>
      <c r="W61" s="4">
        <f t="shared" si="46"/>
        <v>152.19</v>
      </c>
      <c r="X61" s="4">
        <f>(0.03*(VLOOKUP(YEAR(A61),Resumen!$O$7:$P$12,2,0))*Resumen!$B$8)</f>
        <v>25.5</v>
      </c>
      <c r="Y61" s="4">
        <f>(((S61*0.03)+(VLOOKUP(YEAR(A61),Resumen!$O$7:$P$12,2,0)*0.05))*DATEDIF(Resumen!$B$6,A61,"y"))</f>
        <v>799.31999999999994</v>
      </c>
      <c r="Z61" s="3">
        <v>50</v>
      </c>
      <c r="AA61" s="1">
        <f>IF(DATEDIF(Resumen!$B$6,A61,"M")/12=5,S61/2,IF(DATEDIF(Resumen!$B$6,A61,"M")/12=10,S61,IF(DATEDIF(Resumen!$B$6,A61,"M")/12=15,S61*1.5,IF(DATEDIF(Resumen!$B$6,A61,"M")/12=20,S61*2,IF(DATEDIF(Resumen!$B$6,A61,"M")/12=25,S61*2.5,IF(DATEDIF(Resumen!$B$6,A61,"M")/12=30,S61*3,0))))))</f>
        <v>0</v>
      </c>
      <c r="AB61" s="19">
        <f>(IF(Resumen!$B$20="Sí",IF(Resumen!$C$20&lt;=A61,IF(DATEDIF(Resumen!$C$20,A61,"Y")&lt;8,VLOOKUP(YEAR(A61),Resumen!$O$7:$P$12,2,0),0),0),0))+(IF(Resumen!$B$21="Sí",IF(Resumen!$C$21&lt;=A61,IF(DATEDIF(Resumen!$C$21,A61,"Y")&lt;8,VLOOKUP(YEAR(A61),Resumen!$O$7:$P$12,2,0),0),0),0))</f>
        <v>0</v>
      </c>
      <c r="AC61" s="1">
        <f>IF(MONTH(A61)=12,VLOOKUP(YEAR(A61),Resumen!$O$7:$P$12,2,0),0)</f>
        <v>0</v>
      </c>
      <c r="AD61" s="1">
        <f t="shared" si="29"/>
        <v>0</v>
      </c>
      <c r="AE61" s="19">
        <f>(IF(Resumen!$B$25="Sí",IF(DATE(YEAR(Resumen!$C$25),MONTH(Resumen!$C$25),1)=A61,1000,0)+(IF(Resumen!$B$26="Sí",IF(DATE(YEAR(Resumen!$C$26),MONTH(Resumen!$C$26),1)=A61,1000,0),0)),0))</f>
        <v>0</v>
      </c>
      <c r="AF61" s="1">
        <v>0</v>
      </c>
      <c r="AG61" s="1">
        <v>0</v>
      </c>
      <c r="AH61" s="19">
        <v>130</v>
      </c>
      <c r="AI61" s="1">
        <f>IF(MONTH(A61)=1,(VLOOKUP(YEAR(A61),Resumen!$O$7:$P$12,2,0))*3,0)</f>
        <v>0</v>
      </c>
      <c r="AJ61" s="19">
        <f>IF(MONTH(A61)=12,(15+DATEDIF(Resumen!$B$6,A61,"y"))*50,0)</f>
        <v>0</v>
      </c>
      <c r="AK61" s="5">
        <f>IF(Resumen!$B$13="No",IF(Resumen!$B$12="No",20,100),0)</f>
        <v>20</v>
      </c>
      <c r="AL61" s="1">
        <f>IF(Resumen!$B$14="LOEP",(S61+T61+U61)*11.45%*-1,(S61+T61+U61)*9.45%*-1)</f>
        <v>-172.65149999999997</v>
      </c>
      <c r="AN61" s="3">
        <f t="shared" si="30"/>
        <v>0</v>
      </c>
      <c r="AO61" s="4">
        <f t="shared" si="31"/>
        <v>0</v>
      </c>
      <c r="AP61" s="4">
        <f t="shared" si="32"/>
        <v>0</v>
      </c>
      <c r="AQ61" s="4">
        <f t="shared" si="33"/>
        <v>0</v>
      </c>
      <c r="AR61" s="4">
        <f t="shared" si="34"/>
        <v>0</v>
      </c>
      <c r="AS61" s="4">
        <f t="shared" si="35"/>
        <v>0</v>
      </c>
      <c r="AT61" s="4">
        <f t="shared" si="36"/>
        <v>0</v>
      </c>
      <c r="AU61" s="4">
        <f t="shared" si="37"/>
        <v>0</v>
      </c>
      <c r="AV61" s="6">
        <f t="shared" si="38"/>
        <v>0</v>
      </c>
      <c r="AW61" s="6">
        <f t="shared" si="39"/>
        <v>0</v>
      </c>
      <c r="AX61" s="6">
        <f t="shared" si="40"/>
        <v>0</v>
      </c>
      <c r="AY61" s="6">
        <f t="shared" si="22"/>
        <v>130</v>
      </c>
      <c r="AZ61" s="6">
        <f t="shared" si="41"/>
        <v>10</v>
      </c>
      <c r="BA61" s="6">
        <f t="shared" si="23"/>
        <v>0</v>
      </c>
      <c r="BB61" s="6">
        <f t="shared" si="24"/>
        <v>0</v>
      </c>
      <c r="BC61" s="6">
        <f t="shared" si="25"/>
        <v>0</v>
      </c>
      <c r="BD61" s="6">
        <f t="shared" si="42"/>
        <v>0</v>
      </c>
      <c r="BF61" s="3">
        <f t="shared" si="26"/>
        <v>140</v>
      </c>
      <c r="BG61" s="3">
        <f ca="1">BF61*Resumen!$P$14*((TODAY()-(A61+30))/360)</f>
        <v>3.5541333333333336</v>
      </c>
    </row>
    <row r="62" spans="1:59" x14ac:dyDescent="0.25">
      <c r="A62" s="7">
        <v>44896</v>
      </c>
      <c r="B62" s="9">
        <f>IF(Resumen!$B$14="Código",IF(A62&lt;DATE(2021,7,1),Resumen!$B$7,Resumen!$B$7+300),IF(A62&lt;DATE(2022,3,1),Resumen!$B$7,Resumen!$B$7+300))</f>
        <v>1512</v>
      </c>
      <c r="C62" s="77">
        <v>6</v>
      </c>
      <c r="D62" s="77">
        <v>16</v>
      </c>
      <c r="E62" s="4">
        <f t="shared" ref="E62:E63" si="47">ROUND((B62/30/8)*1.5*C62,2)</f>
        <v>56.7</v>
      </c>
      <c r="F62" s="4">
        <f t="shared" ref="F62" si="48">ROUND((B62/30/8)*2*D62,2)</f>
        <v>201.6</v>
      </c>
      <c r="G62" s="4">
        <f>IF(Resumen!$B$14="Código",IF(A62&lt;DATE(2021,7,1),(Resumen!$B$7*0.25%)*DATEDIF("1/1/2009",A62,"y"),IF(Resumen!$B$9="Sí",(((B62*0.03)+(VLOOKUP(YEAR(A62),Resumen!$O$7:$P$12,2,0)*0.05))*DATEDIF(MAX("1/5/2008",Resumen!$B$6),A62,"y")),(((B62*0.03)+(VLOOKUP(YEAR(A62),Resumen!$O$7:$P$12,2,0)*0.05))*DATEDIF(Resumen!$B$6,A62,"y")))),IF(A62&lt;DATE(2022,3,1),(Resumen!$B$7*0.25%)*DATEDIF("1/1/2009",A62,"y"),IF(Resumen!$B$9="Sí",(((B62*0.03)+(VLOOKUP(YEAR(A62),Resumen!$O$7:$P$12,2,0)*0.05))*DATEDIF(MAX("1/5/2008",Resumen!$B$6),A62,"y")),(((B62*0.03)+(VLOOKUP(YEAR(A62),Resumen!$O$7:$P$12,2,0)*0.05))*DATEDIF(Resumen!$B$6,A62,"y")))))</f>
        <v>799.31999999999994</v>
      </c>
      <c r="H62" s="4">
        <f t="shared" ref="H62" si="49">ROUND((B62+E62+F62)/12,2)</f>
        <v>147.53</v>
      </c>
      <c r="I62" s="4">
        <f t="shared" ref="I62" si="50">ROUND((B62+E62+F62)*8.33%,2)</f>
        <v>147.47</v>
      </c>
      <c r="J62" s="1">
        <f>IF(Resumen!$B$14="Código",IF(A62&lt;DATE(2021,7,1),0,(0.03*(VLOOKUP(YEAR(A62),Resumen!$O$7:$P$12,2,0))*Resumen!$B$8)),IF(A62&lt;DATE(2022,3,1),0,(0.03*(VLOOKUP(YEAR(A62),Resumen!$O$7:$P$12,2,0))*Resumen!$B$8)))</f>
        <v>25.5</v>
      </c>
      <c r="K62" s="1">
        <f>IF(Resumen!$B$14="Código",IF(A62&lt;DATE(2021,7,1),0,50),IF(A62&lt;DATE(2022,3,1),0,50))</f>
        <v>50</v>
      </c>
      <c r="L62" s="1">
        <v>425</v>
      </c>
      <c r="M62" s="1">
        <v>100</v>
      </c>
      <c r="N62" s="1">
        <v>0</v>
      </c>
      <c r="O62" s="29">
        <v>10</v>
      </c>
      <c r="P62" s="1">
        <v>0</v>
      </c>
      <c r="Q62" s="1">
        <f>IF(Resumen!$B$14="LOEP",(B62+E62+F62)*11.45%*-1,(B62+E62+F62)*9.45%*-1)</f>
        <v>-167.29334999999998</v>
      </c>
      <c r="R62" s="3"/>
      <c r="S62" s="9">
        <f t="shared" si="28"/>
        <v>1512</v>
      </c>
      <c r="T62" s="4">
        <f t="shared" ref="T62" si="51">ROUND((S62/30/8)*1.5*C62,2)</f>
        <v>56.7</v>
      </c>
      <c r="U62" s="4">
        <f t="shared" ref="U62" si="52">ROUND((S62/30/8)*2*D62,2)</f>
        <v>201.6</v>
      </c>
      <c r="V62" s="4">
        <f t="shared" ref="V62" si="53">ROUND((S62+T62+U62)/12,2)</f>
        <v>147.53</v>
      </c>
      <c r="W62" s="4">
        <f t="shared" ref="W62" si="54">ROUND((S62+T62+U62)*8.33%,2)</f>
        <v>147.47</v>
      </c>
      <c r="X62" s="4">
        <f>(0.03*(VLOOKUP(YEAR(A62),Resumen!$O$7:$P$12,2,0))*Resumen!$B$8)</f>
        <v>25.5</v>
      </c>
      <c r="Y62" s="4">
        <f>(((S62*0.03)+(VLOOKUP(YEAR(A62),Resumen!$O$7:$P$12,2,0)*0.05))*DATEDIF(Resumen!$B$6,A62,"y"))</f>
        <v>799.31999999999994</v>
      </c>
      <c r="Z62" s="3">
        <v>50</v>
      </c>
      <c r="AA62" s="1">
        <f>IF(DATEDIF(Resumen!$B$6,A62,"M")/12=5,S62/2,IF(DATEDIF(Resumen!$B$6,A62,"M")/12=10,S62,IF(DATEDIF(Resumen!$B$6,A62,"M")/12=15,S62*1.5,IF(DATEDIF(Resumen!$B$6,A62,"M")/12=20,S62*2,IF(DATEDIF(Resumen!$B$6,A62,"M")/12=25,S62*2.5,IF(DATEDIF(Resumen!$B$6,A62,"M")/12=30,S62*3,0))))))</f>
        <v>0</v>
      </c>
      <c r="AB62" s="19">
        <f>(IF(Resumen!$B$20="Sí",IF(Resumen!$C$20&lt;=A62,IF(DATEDIF(Resumen!$C$20,A62,"Y")&lt;8,VLOOKUP(YEAR(A62),Resumen!$O$7:$P$12,2,0),0),0),0))+(IF(Resumen!$B$21="Sí",IF(Resumen!$C$21&lt;=A62,IF(DATEDIF(Resumen!$C$21,A62,"Y")&lt;8,VLOOKUP(YEAR(A62),Resumen!$O$7:$P$12,2,0),0),0),0))</f>
        <v>0</v>
      </c>
      <c r="AC62" s="1">
        <f>IF(MONTH(A62)=12,VLOOKUP(YEAR(A62),Resumen!$O$7:$P$12,2,0),0)</f>
        <v>425</v>
      </c>
      <c r="AD62" s="1">
        <f t="shared" si="29"/>
        <v>100</v>
      </c>
      <c r="AE62" s="19">
        <f>(IF(Resumen!$B$25="Sí",IF(DATE(YEAR(Resumen!$C$25),MONTH(Resumen!$C$25),1)=A62,1000,0)+(IF(Resumen!$B$26="Sí",IF(DATE(YEAR(Resumen!$C$26),MONTH(Resumen!$C$26),1)=A62,1000,0),0)),0))</f>
        <v>0</v>
      </c>
      <c r="AF62" s="1">
        <v>0</v>
      </c>
      <c r="AG62" s="1">
        <v>0</v>
      </c>
      <c r="AH62" s="19">
        <v>130</v>
      </c>
      <c r="AI62" s="1">
        <f>IF(MONTH(A62)=1,(VLOOKUP(YEAR(A62),Resumen!$O$7:$P$12,2,0))*3,0)</f>
        <v>0</v>
      </c>
      <c r="AJ62" s="19">
        <f>IF(MONTH(A62)=12,(15+DATEDIF(Resumen!$B$6,A62,"y"))*50,0)</f>
        <v>1350</v>
      </c>
      <c r="AK62" s="5">
        <f>IF(Resumen!$B$13="No",IF(Resumen!$B$12="No",20,100),0)</f>
        <v>20</v>
      </c>
      <c r="AL62" s="1">
        <f>IF(Resumen!$B$14="LOEP",(S62+T62+U62)*11.45%*-1,(S62+T62+U62)*9.45%*-1)</f>
        <v>-167.29334999999998</v>
      </c>
      <c r="AN62" s="3">
        <f t="shared" si="30"/>
        <v>0</v>
      </c>
      <c r="AO62" s="4">
        <f t="shared" si="31"/>
        <v>0</v>
      </c>
      <c r="AP62" s="4">
        <f t="shared" si="32"/>
        <v>0</v>
      </c>
      <c r="AQ62" s="4">
        <f t="shared" si="33"/>
        <v>0</v>
      </c>
      <c r="AR62" s="4">
        <f t="shared" si="34"/>
        <v>0</v>
      </c>
      <c r="AS62" s="4">
        <f t="shared" si="35"/>
        <v>0</v>
      </c>
      <c r="AT62" s="4">
        <f t="shared" si="36"/>
        <v>0</v>
      </c>
      <c r="AU62" s="4">
        <f t="shared" si="37"/>
        <v>0</v>
      </c>
      <c r="AV62" s="6">
        <f t="shared" si="38"/>
        <v>0</v>
      </c>
      <c r="AW62" s="6">
        <f t="shared" si="39"/>
        <v>0</v>
      </c>
      <c r="AX62" s="6">
        <f t="shared" si="40"/>
        <v>0</v>
      </c>
      <c r="AY62" s="6">
        <f t="shared" si="22"/>
        <v>130</v>
      </c>
      <c r="AZ62" s="6">
        <f t="shared" si="41"/>
        <v>10</v>
      </c>
      <c r="BA62" s="6">
        <f t="shared" ref="BA62" si="55">AA62</f>
        <v>0</v>
      </c>
      <c r="BB62" s="6">
        <f t="shared" ref="BB62" si="56">AB62</f>
        <v>0</v>
      </c>
      <c r="BC62" s="6">
        <f t="shared" ref="BC62" si="57">AJ62</f>
        <v>1350</v>
      </c>
      <c r="BD62" s="6">
        <f t="shared" si="42"/>
        <v>0</v>
      </c>
      <c r="BF62" s="3">
        <f t="shared" ref="BF62" si="58">SUM(AN62:BD62)</f>
        <v>1490</v>
      </c>
      <c r="BG62" s="3">
        <f ca="1">BF62*Resumen!$P$14*((TODAY()-(A62+30))/360)</f>
        <v>26.700800000000001</v>
      </c>
    </row>
    <row r="63" spans="1:59" x14ac:dyDescent="0.25">
      <c r="A63" s="7">
        <v>44927</v>
      </c>
      <c r="B63" s="9">
        <f>IF(Resumen!$B$14="Código",IF(A63&lt;DATE(2021,7,1),Resumen!$B$7,Resumen!$B$7+300),IF(A63&lt;DATE(2022,3,1),Resumen!$B$7,Resumen!$B$7+300))</f>
        <v>1512</v>
      </c>
      <c r="C63" s="77">
        <v>12</v>
      </c>
      <c r="D63" s="77">
        <v>8</v>
      </c>
      <c r="E63" s="4">
        <f t="shared" si="47"/>
        <v>113.4</v>
      </c>
      <c r="F63" s="4">
        <f t="shared" ref="F63" si="59">ROUND((B63/30/8)*2*D63,2)</f>
        <v>100.8</v>
      </c>
      <c r="G63" s="4">
        <f>IF(Resumen!$B$14="Código",IF(A63&lt;DATE(2021,7,1),(Resumen!$B$7*0.25%)*DATEDIF("1/1/2009",A63,"y"),IF(Resumen!$B$9="Sí",(((B63*0.03)+(VLOOKUP(YEAR(A63),Resumen!$O$7:$P$12,2,0)*0.05))*DATEDIF(MAX("1/5/2008",Resumen!$B$6),A63,"y")),(((B63*0.03)+(VLOOKUP(YEAR(A63),Resumen!$O$7:$P$12,2,0)*0.05))*DATEDIF(Resumen!$B$6,A63,"y")))),IF(A63&lt;DATE(2022,3,1),(Resumen!$B$7*0.25%)*DATEDIF("1/1/2009",A63,"y"),IF(Resumen!$B$9="Sí",(((B63*0.03)+(VLOOKUP(YEAR(A63),Resumen!$O$7:$P$12,2,0)*0.05))*DATEDIF(MAX("1/5/2008",Resumen!$B$6),A63,"y")),(((B63*0.03)+(VLOOKUP(YEAR(A63),Resumen!$O$7:$P$12,2,0)*0.05))*DATEDIF(Resumen!$B$6,A63,"y")))))</f>
        <v>814.31999999999994</v>
      </c>
      <c r="H63" s="4">
        <f t="shared" ref="H63" si="60">ROUND((B63+E63+F63)/12,2)</f>
        <v>143.85</v>
      </c>
      <c r="I63" s="4">
        <f t="shared" ref="I63" si="61">ROUND((B63+E63+F63)*8.33%,2)</f>
        <v>143.79</v>
      </c>
      <c r="J63" s="1">
        <f>IF(Resumen!$B$14="Código",IF(A63&lt;DATE(2021,7,1),0,(0.03*(VLOOKUP(YEAR(A63),Resumen!$O$7:$P$12,2,0))*Resumen!$B$8)),IF(A63&lt;DATE(2022,3,1),0,(0.03*(VLOOKUP(YEAR(A63),Resumen!$O$7:$P$12,2,0))*Resumen!$B$8)))</f>
        <v>27</v>
      </c>
      <c r="K63" s="1">
        <f>IF(Resumen!$B$14="Código",IF(A63&lt;DATE(2021,7,1),0,50),IF(A63&lt;DATE(2022,3,1),0,50))</f>
        <v>50</v>
      </c>
      <c r="L63" s="1">
        <v>0</v>
      </c>
      <c r="M63" s="1">
        <v>0</v>
      </c>
      <c r="N63" s="1">
        <v>0</v>
      </c>
      <c r="O63" s="29">
        <v>10</v>
      </c>
      <c r="P63" s="1">
        <v>0</v>
      </c>
      <c r="Q63" s="1">
        <f>IF(Resumen!$B$14="LOEP",(B63+E63+F63)*11.45%*-1,(B63+E63+F63)*9.45%*-1)</f>
        <v>-163.12589999999997</v>
      </c>
      <c r="R63" s="3"/>
      <c r="S63" s="9">
        <f t="shared" si="28"/>
        <v>1512</v>
      </c>
      <c r="T63" s="4">
        <f t="shared" ref="T63" si="62">ROUND((S63/30/8)*1.5*C63,2)</f>
        <v>113.4</v>
      </c>
      <c r="U63" s="4">
        <f t="shared" ref="U63" si="63">ROUND((S63/30/8)*2*D63,2)</f>
        <v>100.8</v>
      </c>
      <c r="V63" s="4">
        <f t="shared" ref="V63" si="64">ROUND((S63+T63+U63)/12,2)</f>
        <v>143.85</v>
      </c>
      <c r="W63" s="4">
        <f t="shared" ref="W63" si="65">ROUND((S63+T63+U63)*8.33%,2)</f>
        <v>143.79</v>
      </c>
      <c r="X63" s="4">
        <f>(0.03*(VLOOKUP(YEAR(A63),Resumen!$O$7:$P$12,2,0))*Resumen!$B$8)</f>
        <v>27</v>
      </c>
      <c r="Y63" s="4">
        <f>(((S63*0.03)+(VLOOKUP(YEAR(A63),Resumen!$O$7:$P$12,2,0)*0.05))*DATEDIF(Resumen!$B$6,A63,"y"))</f>
        <v>814.31999999999994</v>
      </c>
      <c r="Z63" s="3">
        <v>50</v>
      </c>
      <c r="AA63" s="1">
        <f>IF(DATEDIF(Resumen!$B$6,A63,"M")/12=5,S63/2,IF(DATEDIF(Resumen!$B$6,A63,"M")/12=10,S63,IF(DATEDIF(Resumen!$B$6,A63,"M")/12=15,S63*1.5,IF(DATEDIF(Resumen!$B$6,A63,"M")/12=20,S63*2,IF(DATEDIF(Resumen!$B$6,A63,"M")/12=25,S63*2.5,IF(DATEDIF(Resumen!$B$6,A63,"M")/12=30,S63*3,0))))))</f>
        <v>0</v>
      </c>
      <c r="AB63" s="19">
        <f>(IF(Resumen!$B$20="Sí",IF(Resumen!$C$20&lt;=A63,IF(DATEDIF(Resumen!$C$20,A63,"Y")&lt;8,VLOOKUP(YEAR(A63),Resumen!$O$7:$P$12,2,0),0),0),0))+(IF(Resumen!$B$21="Sí",IF(Resumen!$C$21&lt;=A63,IF(DATEDIF(Resumen!$C$21,A63,"Y")&lt;8,VLOOKUP(YEAR(A63),Resumen!$O$7:$P$12,2,0),0),0),0))</f>
        <v>0</v>
      </c>
      <c r="AC63" s="1">
        <f>IF(MONTH(A63)=12,VLOOKUP(YEAR(A63),Resumen!$O$7:$P$12,2,0),0)</f>
        <v>0</v>
      </c>
      <c r="AD63" s="1">
        <f t="shared" si="29"/>
        <v>0</v>
      </c>
      <c r="AE63" s="19">
        <f>(IF(Resumen!$B$25="Sí",IF(DATE(YEAR(Resumen!$C$25),MONTH(Resumen!$C$25),1)=A63,1000,0)+(IF(Resumen!$B$26="Sí",IF(DATE(YEAR(Resumen!$C$26),MONTH(Resumen!$C$26),1)=A63,1000,0),0)),0))</f>
        <v>0</v>
      </c>
      <c r="AF63" s="1">
        <v>0</v>
      </c>
      <c r="AG63" s="1">
        <v>0</v>
      </c>
      <c r="AH63" s="19">
        <v>130</v>
      </c>
      <c r="AI63" s="1">
        <f>IF(MONTH(A63)=1,(VLOOKUP(YEAR(A63),Resumen!$O$7:$P$12,2,0))*3,0)</f>
        <v>1350</v>
      </c>
      <c r="AJ63" s="19">
        <f>IF(MONTH(A63)=12,(15+DATEDIF(Resumen!$B$6,A63,"y"))*50,0)</f>
        <v>0</v>
      </c>
      <c r="AK63" s="5">
        <f>IF(Resumen!$B$13="No",IF(Resumen!$B$12="No",20,100),0)</f>
        <v>20</v>
      </c>
      <c r="AL63" s="1">
        <f>IF(Resumen!$B$14="LOEP",(S63+T63+U63)*11.45%*-1,(S63+T63+U63)*9.45%*-1)</f>
        <v>-163.12589999999997</v>
      </c>
      <c r="AN63" s="3">
        <f t="shared" si="30"/>
        <v>0</v>
      </c>
      <c r="AO63" s="4">
        <f t="shared" si="31"/>
        <v>0</v>
      </c>
      <c r="AP63" s="4">
        <f t="shared" si="32"/>
        <v>0</v>
      </c>
      <c r="AQ63" s="4">
        <f t="shared" si="33"/>
        <v>0</v>
      </c>
      <c r="AR63" s="4">
        <f t="shared" si="34"/>
        <v>0</v>
      </c>
      <c r="AS63" s="4">
        <f t="shared" si="35"/>
        <v>0</v>
      </c>
      <c r="AT63" s="4">
        <f t="shared" si="36"/>
        <v>0</v>
      </c>
      <c r="AU63" s="4">
        <f t="shared" si="37"/>
        <v>0</v>
      </c>
      <c r="AV63" s="6">
        <f t="shared" si="38"/>
        <v>0</v>
      </c>
      <c r="AW63" s="6">
        <f t="shared" si="39"/>
        <v>0</v>
      </c>
      <c r="AX63" s="6">
        <f t="shared" si="40"/>
        <v>0</v>
      </c>
      <c r="AY63" s="6">
        <f t="shared" si="22"/>
        <v>130</v>
      </c>
      <c r="AZ63" s="6">
        <f t="shared" si="41"/>
        <v>10</v>
      </c>
      <c r="BA63" s="6">
        <f t="shared" ref="BA63" si="66">AA63</f>
        <v>0</v>
      </c>
      <c r="BB63" s="6">
        <f t="shared" ref="BB63" si="67">AB63</f>
        <v>0</v>
      </c>
      <c r="BC63" s="6">
        <f t="shared" ref="BC63" si="68">AJ63</f>
        <v>0</v>
      </c>
      <c r="BD63" s="6">
        <f t="shared" si="42"/>
        <v>0</v>
      </c>
      <c r="BF63" s="3">
        <f t="shared" ref="BF63" si="69">SUM(AN63:BD63)</f>
        <v>140</v>
      </c>
      <c r="BG63" s="3">
        <f ca="1">BF63*Resumen!$P$14*((TODAY()-(A63+30))/360)</f>
        <v>1.4286222222222222</v>
      </c>
    </row>
    <row r="64" spans="1:59" x14ac:dyDescent="0.25">
      <c r="A64" s="7">
        <v>44958</v>
      </c>
      <c r="B64" s="9">
        <f>IF(Resumen!$B$14="Código",IF(A64&lt;DATE(2021,7,1),Resumen!$B$7,Resumen!$B$7+300),IF(A64&lt;DATE(2022,3,1),Resumen!$B$7,Resumen!$B$7+300))</f>
        <v>1512</v>
      </c>
      <c r="C64" s="77">
        <v>10.85</v>
      </c>
      <c r="D64" s="77">
        <v>16</v>
      </c>
      <c r="E64" s="4">
        <f t="shared" ref="E64" si="70">ROUND((B64/30/8)*1.5*C64,2)</f>
        <v>102.53</v>
      </c>
      <c r="F64" s="4">
        <f t="shared" ref="F64" si="71">ROUND((B64/30/8)*2*D64,2)</f>
        <v>201.6</v>
      </c>
      <c r="G64" s="4">
        <f>IF(Resumen!$B$14="Código",IF(A64&lt;DATE(2021,7,1),(Resumen!$B$7*0.25%)*DATEDIF("1/1/2009",A64,"y"),IF(Resumen!$B$9="Sí",(((B64*0.03)+(VLOOKUP(YEAR(A64),Resumen!$O$7:$P$12,2,0)*0.05))*DATEDIF(MAX("1/5/2008",Resumen!$B$6),A64,"y")),(((B64*0.03)+(VLOOKUP(YEAR(A64),Resumen!$O$7:$P$12,2,0)*0.05))*DATEDIF(Resumen!$B$6,A64,"y")))),IF(A64&lt;DATE(2022,3,1),(Resumen!$B$7*0.25%)*DATEDIF("1/1/2009",A64,"y"),IF(Resumen!$B$9="Sí",(((B64*0.03)+(VLOOKUP(YEAR(A64),Resumen!$O$7:$P$12,2,0)*0.05))*DATEDIF(MAX("1/5/2008",Resumen!$B$6),A64,"y")),(((B64*0.03)+(VLOOKUP(YEAR(A64),Resumen!$O$7:$P$12,2,0)*0.05))*DATEDIF(Resumen!$B$6,A64,"y")))))</f>
        <v>882.18</v>
      </c>
      <c r="H64" s="4">
        <f t="shared" ref="H64" si="72">ROUND((B64+E64+F64)/12,2)</f>
        <v>151.34</v>
      </c>
      <c r="I64" s="4">
        <f t="shared" ref="I64" si="73">ROUND((B64+E64+F64)*8.33%,2)</f>
        <v>151.28</v>
      </c>
      <c r="J64" s="1">
        <f>IF(Resumen!$B$14="Código",IF(A64&lt;DATE(2021,7,1),0,(0.03*(VLOOKUP(YEAR(A64),Resumen!$O$7:$P$12,2,0))*Resumen!$B$8)),IF(A64&lt;DATE(2022,3,1),0,(0.03*(VLOOKUP(YEAR(A64),Resumen!$O$7:$P$12,2,0))*Resumen!$B$8)))</f>
        <v>27</v>
      </c>
      <c r="K64" s="1">
        <f>IF(Resumen!$B$14="Código",IF(A64&lt;DATE(2021,7,1),0,50),IF(A64&lt;DATE(2022,3,1),0,50))</f>
        <v>50</v>
      </c>
      <c r="L64" s="1">
        <v>0</v>
      </c>
      <c r="M64" s="1">
        <v>0</v>
      </c>
      <c r="N64" s="1">
        <v>0</v>
      </c>
      <c r="O64" s="29">
        <v>10</v>
      </c>
      <c r="P64" s="1">
        <v>0</v>
      </c>
      <c r="Q64" s="1">
        <f>IF(Resumen!$B$14="LOEP",(B64+E64+F64)*11.45%*-1,(B64+E64+F64)*9.45%*-1)</f>
        <v>-171.62428499999996</v>
      </c>
      <c r="R64" s="3"/>
      <c r="S64" s="9">
        <f t="shared" si="28"/>
        <v>1512</v>
      </c>
      <c r="T64" s="4">
        <f t="shared" ref="T64" si="74">ROUND((S64/30/8)*1.5*C64,2)</f>
        <v>102.53</v>
      </c>
      <c r="U64" s="4">
        <f t="shared" ref="U64" si="75">ROUND((S64/30/8)*2*D64,2)</f>
        <v>201.6</v>
      </c>
      <c r="V64" s="4">
        <f t="shared" ref="V64" si="76">ROUND((S64+T64+U64)/12,2)</f>
        <v>151.34</v>
      </c>
      <c r="W64" s="4">
        <f t="shared" ref="W64" si="77">ROUND((S64+T64+U64)*8.33%,2)</f>
        <v>151.28</v>
      </c>
      <c r="X64" s="4">
        <f>(0.03*(VLOOKUP(YEAR(A64),Resumen!$O$7:$P$12,2,0))*Resumen!$B$8)</f>
        <v>27</v>
      </c>
      <c r="Y64" s="4">
        <f>(((S64*0.03)+(VLOOKUP(YEAR(A64),Resumen!$O$7:$P$12,2,0)*0.05))*DATEDIF(Resumen!$B$6,A64,"y"))</f>
        <v>882.18</v>
      </c>
      <c r="Z64" s="3">
        <v>50</v>
      </c>
      <c r="AA64" s="1">
        <f>IF(DATEDIF(Resumen!$B$6,A64,"M")/12=5,S64/2,IF(DATEDIF(Resumen!$B$6,A64,"M")/12=10,S64,IF(DATEDIF(Resumen!$B$6,A64,"M")/12=15,S64*1.5,IF(DATEDIF(Resumen!$B$6,A64,"M")/12=20,S64*2,IF(DATEDIF(Resumen!$B$6,A64,"M")/12=25,S64*2.5,IF(DATEDIF(Resumen!$B$6,A64,"M")/12=30,S64*3,0))))))</f>
        <v>0</v>
      </c>
      <c r="AB64" s="19">
        <f>(IF(Resumen!$B$20="Sí",IF(Resumen!$C$20&lt;=A64,IF(DATEDIF(Resumen!$C$20,A64,"Y")&lt;8,VLOOKUP(YEAR(A64),Resumen!$O$7:$P$12,2,0),0),0),0))+(IF(Resumen!$B$21="Sí",IF(Resumen!$C$21&lt;=A64,IF(DATEDIF(Resumen!$C$21,A64,"Y")&lt;8,VLOOKUP(YEAR(A64),Resumen!$O$7:$P$12,2,0),0),0),0))</f>
        <v>0</v>
      </c>
      <c r="AC64" s="1">
        <f>IF(MONTH(A64)=12,VLOOKUP(YEAR(A64),Resumen!$O$7:$P$12,2,0),0)</f>
        <v>0</v>
      </c>
      <c r="AD64" s="1">
        <f t="shared" si="29"/>
        <v>0</v>
      </c>
      <c r="AE64" s="19">
        <f>(IF(Resumen!$B$25="Sí",IF(DATE(YEAR(Resumen!$C$25),MONTH(Resumen!$C$25),1)=A64,1000,0)+(IF(Resumen!$B$26="Sí",IF(DATE(YEAR(Resumen!$C$26),MONTH(Resumen!$C$26),1)=A64,1000,0),0)),0))</f>
        <v>0</v>
      </c>
      <c r="AF64" s="1">
        <v>0</v>
      </c>
      <c r="AG64" s="1">
        <v>0</v>
      </c>
      <c r="AH64" s="19">
        <v>130</v>
      </c>
      <c r="AI64" s="1">
        <f>IF(MONTH(A64)=1,(VLOOKUP(YEAR(A64),Resumen!$O$7:$P$12,2,0))*3,0)</f>
        <v>0</v>
      </c>
      <c r="AJ64" s="19">
        <f>IF(MONTH(A64)=12,(15+DATEDIF(Resumen!$B$6,A64,"y"))*50,0)</f>
        <v>0</v>
      </c>
      <c r="AK64" s="5">
        <f>IF(Resumen!$B$13="No",IF(Resumen!$B$12="No",20,100),0)</f>
        <v>20</v>
      </c>
      <c r="AL64" s="1">
        <f>IF(Resumen!$B$14="LOEP",(S64+T64+U64)*11.45%*-1,(S64+T64+U64)*9.45%*-1)</f>
        <v>-171.62428499999996</v>
      </c>
      <c r="AN64" s="3">
        <f t="shared" si="30"/>
        <v>0</v>
      </c>
      <c r="AO64" s="4">
        <f t="shared" si="31"/>
        <v>0</v>
      </c>
      <c r="AP64" s="4">
        <f t="shared" si="32"/>
        <v>0</v>
      </c>
      <c r="AQ64" s="4">
        <f t="shared" si="33"/>
        <v>0</v>
      </c>
      <c r="AR64" s="4">
        <f t="shared" si="34"/>
        <v>0</v>
      </c>
      <c r="AS64" s="4">
        <f t="shared" si="35"/>
        <v>0</v>
      </c>
      <c r="AT64" s="4">
        <f t="shared" si="36"/>
        <v>0</v>
      </c>
      <c r="AU64" s="4">
        <f t="shared" si="37"/>
        <v>0</v>
      </c>
      <c r="AV64" s="6">
        <f t="shared" si="38"/>
        <v>0</v>
      </c>
      <c r="AW64" s="6">
        <f t="shared" si="39"/>
        <v>0</v>
      </c>
      <c r="AX64" s="6">
        <f t="shared" si="40"/>
        <v>0</v>
      </c>
      <c r="AY64" s="6">
        <f t="shared" si="22"/>
        <v>130</v>
      </c>
      <c r="AZ64" s="6">
        <f t="shared" si="41"/>
        <v>10</v>
      </c>
      <c r="BA64" s="6">
        <f t="shared" ref="BA64" si="78">AA64</f>
        <v>0</v>
      </c>
      <c r="BB64" s="6">
        <f t="shared" ref="BB64" si="79">AB64</f>
        <v>0</v>
      </c>
      <c r="BC64" s="6">
        <f t="shared" ref="BC64" si="80">AJ64</f>
        <v>0</v>
      </c>
      <c r="BD64" s="6">
        <f t="shared" si="42"/>
        <v>0</v>
      </c>
      <c r="BF64" s="3">
        <f t="shared" ref="BF64" si="81">SUM(AN64:BD64)</f>
        <v>140</v>
      </c>
      <c r="BG64" s="3">
        <f ca="1">BF64*Resumen!$P$14*((TODAY()-(A64+30))/360)</f>
        <v>0.34844444444444445</v>
      </c>
    </row>
    <row r="65" spans="1:59" x14ac:dyDescent="0.25">
      <c r="A65" s="7">
        <v>44986</v>
      </c>
      <c r="B65" s="9">
        <f>IF(Resumen!$B$14="Código",IF(A65&lt;DATE(2021,7,1),Resumen!$B$7,Resumen!$B$7+300),IF(A65&lt;DATE(2022,3,1),Resumen!$B$7,Resumen!$B$7+300))</f>
        <v>1512</v>
      </c>
      <c r="C65" s="77"/>
      <c r="D65" s="77"/>
      <c r="E65" s="4">
        <f t="shared" ref="E65" si="82">ROUND((B65/30/8)*1.5*C65,2)</f>
        <v>0</v>
      </c>
      <c r="F65" s="4">
        <f t="shared" ref="F65" si="83">ROUND((B65/30/8)*2*D65,2)</f>
        <v>0</v>
      </c>
      <c r="G65" s="4">
        <f>IF(Resumen!$B$14="Código",IF(A65&lt;DATE(2021,7,1),(Resumen!$B$7*0.25%)*DATEDIF("1/1/2009",A65,"y"),IF(Resumen!$B$9="Sí",(((B65*0.03)+(VLOOKUP(YEAR(A65),Resumen!$O$7:$P$12,2,0)*0.05))*DATEDIF(MAX("1/5/2008",Resumen!$B$6),A65,"y")),(((B65*0.03)+(VLOOKUP(YEAR(A65),Resumen!$O$7:$P$12,2,0)*0.05))*DATEDIF(Resumen!$B$6,A65,"y")))),IF(A65&lt;DATE(2022,3,1),(Resumen!$B$7*0.25%)*DATEDIF("1/1/2009",A65,"y"),IF(Resumen!$B$9="Sí",(((B65*0.03)+(VLOOKUP(YEAR(A65),Resumen!$O$7:$P$12,2,0)*0.05))*DATEDIF(MAX("1/5/2008",Resumen!$B$6),A65,"y")),(((B65*0.03)+(VLOOKUP(YEAR(A65),Resumen!$O$7:$P$12,2,0)*0.05))*DATEDIF(Resumen!$B$6,A65,"y")))))</f>
        <v>882.18</v>
      </c>
      <c r="H65" s="4">
        <f t="shared" ref="H65" si="84">ROUND((B65+E65+F65)/12,2)</f>
        <v>126</v>
      </c>
      <c r="I65" s="4">
        <f t="shared" ref="I65" si="85">ROUND((B65+E65+F65)*8.33%,2)</f>
        <v>125.95</v>
      </c>
      <c r="J65" s="1">
        <f>IF(Resumen!$B$14="Código",IF(A65&lt;DATE(2021,7,1),0,(0.03*(VLOOKUP(YEAR(A65),Resumen!$O$7:$P$12,2,0))*Resumen!$B$8)),IF(A65&lt;DATE(2022,3,1),0,(0.03*(VLOOKUP(YEAR(A65),Resumen!$O$7:$P$12,2,0))*Resumen!$B$8)))</f>
        <v>27</v>
      </c>
      <c r="K65" s="1">
        <f>IF(Resumen!$B$14="Código",IF(A65&lt;DATE(2021,7,1),0,50),IF(A65&lt;DATE(2022,3,1),0,50))</f>
        <v>50</v>
      </c>
      <c r="L65" s="1">
        <v>0</v>
      </c>
      <c r="M65" s="1">
        <v>0</v>
      </c>
      <c r="N65" s="1">
        <v>0</v>
      </c>
      <c r="O65" s="29">
        <v>10</v>
      </c>
      <c r="P65" s="1">
        <v>0</v>
      </c>
      <c r="Q65" s="1">
        <f>IF(Resumen!$B$14="LOEP",(B65+E65+F65)*11.45%*-1,(B65+E65+F65)*9.45%*-1)</f>
        <v>-142.88399999999999</v>
      </c>
      <c r="R65" s="3"/>
      <c r="S65" s="9">
        <f t="shared" si="28"/>
        <v>1512</v>
      </c>
      <c r="T65" s="4">
        <f t="shared" ref="T65" si="86">ROUND((S65/30/8)*1.5*C65,2)</f>
        <v>0</v>
      </c>
      <c r="U65" s="4">
        <f t="shared" ref="U65" si="87">ROUND((S65/30/8)*2*D65,2)</f>
        <v>0</v>
      </c>
      <c r="V65" s="4">
        <f t="shared" ref="V65" si="88">ROUND((S65+T65+U65)/12,2)</f>
        <v>126</v>
      </c>
      <c r="W65" s="4">
        <f t="shared" ref="W65" si="89">ROUND((S65+T65+U65)*8.33%,2)</f>
        <v>125.95</v>
      </c>
      <c r="X65" s="4">
        <f>(0.03*(VLOOKUP(YEAR(A65),Resumen!$O$7:$P$12,2,0))*Resumen!$B$8)</f>
        <v>27</v>
      </c>
      <c r="Y65" s="4">
        <f>(((S65*0.03)+(VLOOKUP(YEAR(A65),Resumen!$O$7:$P$12,2,0)*0.05))*DATEDIF(Resumen!$B$6,A65,"y"))</f>
        <v>882.18</v>
      </c>
      <c r="Z65" s="3">
        <v>50</v>
      </c>
      <c r="AA65" s="1">
        <f>IF(DATEDIF(Resumen!$B$6,A65,"M")/12=5,S65/2,IF(DATEDIF(Resumen!$B$6,A65,"M")/12=10,S65,IF(DATEDIF(Resumen!$B$6,A65,"M")/12=15,S65*1.5,IF(DATEDIF(Resumen!$B$6,A65,"M")/12=20,S65*2,IF(DATEDIF(Resumen!$B$6,A65,"M")/12=25,S65*2.5,IF(DATEDIF(Resumen!$B$6,A65,"M")/12=30,S65*3,0))))))</f>
        <v>0</v>
      </c>
      <c r="AB65" s="19">
        <f>(IF(Resumen!$B$20="Sí",IF(Resumen!$C$20&lt;=A65,IF(DATEDIF(Resumen!$C$20,A65,"Y")&lt;8,VLOOKUP(YEAR(A65),Resumen!$O$7:$P$12,2,0),0),0),0))+(IF(Resumen!$B$21="Sí",IF(Resumen!$C$21&lt;=A65,IF(DATEDIF(Resumen!$C$21,A65,"Y")&lt;8,VLOOKUP(YEAR(A65),Resumen!$O$7:$P$12,2,0),0),0),0))</f>
        <v>0</v>
      </c>
      <c r="AC65" s="1">
        <f>IF(MONTH(A65)=12,VLOOKUP(YEAR(A65),Resumen!$O$7:$P$12,2,0),0)</f>
        <v>0</v>
      </c>
      <c r="AD65" s="1">
        <f t="shared" si="29"/>
        <v>0</v>
      </c>
      <c r="AE65" s="19">
        <f>(IF(Resumen!$B$25="Sí",IF(DATE(YEAR(Resumen!$C$25),MONTH(Resumen!$C$25),1)=A65,1000,0)+(IF(Resumen!$B$26="Sí",IF(DATE(YEAR(Resumen!$C$26),MONTH(Resumen!$C$26),1)=A65,1000,0),0)),0))</f>
        <v>0</v>
      </c>
      <c r="AF65" s="1">
        <v>0</v>
      </c>
      <c r="AG65" s="1">
        <v>0</v>
      </c>
      <c r="AH65" s="19">
        <v>130</v>
      </c>
      <c r="AI65" s="1">
        <f>IF(MONTH(A65)=1,(VLOOKUP(YEAR(A65),Resumen!$O$7:$P$12,2,0))*3,0)</f>
        <v>0</v>
      </c>
      <c r="AJ65" s="19">
        <f>IF(MONTH(A65)=12,(15+DATEDIF(Resumen!$B$6,A65,"y"))*50,0)</f>
        <v>0</v>
      </c>
      <c r="AK65" s="5">
        <f>IF(Resumen!$B$13="No",IF(Resumen!$B$12="No",20,100),0)</f>
        <v>20</v>
      </c>
      <c r="AL65" s="1">
        <f>IF(Resumen!$B$14="LOEP",(S65+T65+U65)*11.45%*-1,(S65+T65+U65)*9.45%*-1)</f>
        <v>-142.88399999999999</v>
      </c>
      <c r="AN65" s="3">
        <f t="shared" si="30"/>
        <v>0</v>
      </c>
      <c r="AO65" s="4">
        <f t="shared" si="31"/>
        <v>0</v>
      </c>
      <c r="AP65" s="4">
        <f t="shared" si="32"/>
        <v>0</v>
      </c>
      <c r="AQ65" s="4">
        <f t="shared" si="33"/>
        <v>0</v>
      </c>
      <c r="AR65" s="4">
        <f t="shared" si="34"/>
        <v>0</v>
      </c>
      <c r="AS65" s="4">
        <f t="shared" si="35"/>
        <v>0</v>
      </c>
      <c r="AT65" s="4">
        <f t="shared" si="36"/>
        <v>0</v>
      </c>
      <c r="AU65" s="4">
        <f t="shared" si="37"/>
        <v>0</v>
      </c>
      <c r="AV65" s="6">
        <f t="shared" si="38"/>
        <v>0</v>
      </c>
      <c r="AW65" s="6">
        <f t="shared" si="39"/>
        <v>0</v>
      </c>
      <c r="AX65" s="6">
        <f t="shared" si="40"/>
        <v>0</v>
      </c>
      <c r="AY65" s="6">
        <f t="shared" si="22"/>
        <v>130</v>
      </c>
      <c r="AZ65" s="6">
        <f t="shared" si="41"/>
        <v>10</v>
      </c>
      <c r="BA65" s="6">
        <f t="shared" ref="BA65" si="90">AA65</f>
        <v>0</v>
      </c>
      <c r="BB65" s="6">
        <f t="shared" ref="BB65" si="91">AB65</f>
        <v>0</v>
      </c>
      <c r="BC65" s="6">
        <f t="shared" ref="BC65" si="92">AJ65</f>
        <v>0</v>
      </c>
      <c r="BD65" s="6">
        <f t="shared" si="42"/>
        <v>0</v>
      </c>
      <c r="BF65" s="3">
        <f t="shared" ref="BF65" si="93">SUM(AN65:BD65)</f>
        <v>140</v>
      </c>
      <c r="BG65" s="3">
        <f ca="1">BF65*Resumen!$P$14*((TODAY()-(A65+30))/360)</f>
        <v>-0.62720000000000009</v>
      </c>
    </row>
    <row r="66" spans="1:59" x14ac:dyDescent="0.25">
      <c r="A66" s="21"/>
      <c r="T66" s="11">
        <f t="shared" ref="T66" si="94">SUM(T3:T64)</f>
        <v>2120.9100000000003</v>
      </c>
      <c r="U66" s="11">
        <f t="shared" ref="U66:AH66" si="95">SUM(U3:U65)</f>
        <v>4722.7400000000016</v>
      </c>
      <c r="V66" s="11">
        <f t="shared" si="95"/>
        <v>10715.420000000004</v>
      </c>
      <c r="W66" s="11">
        <f t="shared" si="95"/>
        <v>10711.150000000009</v>
      </c>
      <c r="X66" s="11">
        <f t="shared" si="95"/>
        <v>1524.6</v>
      </c>
      <c r="Y66" s="11">
        <f t="shared" si="95"/>
        <v>40657.029999999984</v>
      </c>
      <c r="Z66" s="10">
        <f t="shared" si="95"/>
        <v>3150</v>
      </c>
      <c r="AA66" s="13">
        <f t="shared" si="95"/>
        <v>1512</v>
      </c>
      <c r="AB66" s="13">
        <f t="shared" si="95"/>
        <v>0</v>
      </c>
      <c r="AC66" s="13">
        <f t="shared" si="95"/>
        <v>2005</v>
      </c>
      <c r="AD66" s="13">
        <f t="shared" si="95"/>
        <v>500</v>
      </c>
      <c r="AE66" s="13">
        <f t="shared" si="95"/>
        <v>0</v>
      </c>
      <c r="AF66" s="13">
        <f t="shared" si="95"/>
        <v>0</v>
      </c>
      <c r="AG66" s="13">
        <f t="shared" si="95"/>
        <v>1600</v>
      </c>
      <c r="AH66" s="13">
        <f t="shared" si="95"/>
        <v>8190</v>
      </c>
      <c r="AI66" s="13">
        <f t="shared" ref="AI66" si="96">SUM(AI3:AI63)</f>
        <v>7365</v>
      </c>
      <c r="AJ66" s="13">
        <f>SUM(AJ3:AJ65)</f>
        <v>6250</v>
      </c>
      <c r="AK66" s="13">
        <f>SUM(AK3:AK65)</f>
        <v>1260</v>
      </c>
      <c r="AL66" s="13"/>
      <c r="AM66" s="12"/>
      <c r="AN66" s="10">
        <f t="shared" ref="AN66:BD66" si="97">SUM(AN3:AN65)</f>
        <v>11400</v>
      </c>
      <c r="AO66" s="10">
        <f t="shared" si="97"/>
        <v>132.55999999999995</v>
      </c>
      <c r="AP66" s="10">
        <f t="shared" si="97"/>
        <v>434.11</v>
      </c>
      <c r="AQ66" s="10">
        <f t="shared" si="97"/>
        <v>3370.4400000000019</v>
      </c>
      <c r="AR66" s="10">
        <f t="shared" si="97"/>
        <v>3369.17</v>
      </c>
      <c r="AS66" s="10">
        <f t="shared" si="97"/>
        <v>28479.249999999989</v>
      </c>
      <c r="AT66" s="10">
        <f t="shared" si="97"/>
        <v>1188.5999999999999</v>
      </c>
      <c r="AU66" s="10">
        <f t="shared" si="97"/>
        <v>2500</v>
      </c>
      <c r="AV66" s="13">
        <f t="shared" si="97"/>
        <v>1180</v>
      </c>
      <c r="AW66" s="13">
        <f t="shared" si="97"/>
        <v>300</v>
      </c>
      <c r="AX66" s="13">
        <f t="shared" si="97"/>
        <v>0</v>
      </c>
      <c r="AY66" s="13">
        <f t="shared" si="97"/>
        <v>8190</v>
      </c>
      <c r="AZ66" s="13">
        <f t="shared" si="97"/>
        <v>1190</v>
      </c>
      <c r="BA66" s="13">
        <f t="shared" si="97"/>
        <v>1512</v>
      </c>
      <c r="BB66" s="13">
        <f t="shared" si="97"/>
        <v>0</v>
      </c>
      <c r="BC66" s="13">
        <f t="shared" si="97"/>
        <v>6250</v>
      </c>
      <c r="BD66" s="13">
        <f t="shared" si="97"/>
        <v>-4631.0578399999995</v>
      </c>
      <c r="BE66" s="12"/>
      <c r="BF66" s="10">
        <f>SUM(BF3:BF65)</f>
        <v>64865.072159999996</v>
      </c>
      <c r="BG66" s="10">
        <f ca="1">SUM(BG3:BG65)</f>
        <v>16145.526285007465</v>
      </c>
    </row>
  </sheetData>
  <mergeCells count="3">
    <mergeCell ref="B1:N1"/>
    <mergeCell ref="S1:AL1"/>
    <mergeCell ref="AN1:BG1"/>
  </mergeCells>
  <pageMargins left="0.7" right="0.7" top="0.75" bottom="0.75" header="0.3" footer="0.3"/>
  <pageSetup paperSize="9" orientation="portrait" r:id="rId1"/>
  <ignoredErrors>
    <ignoredError sqref="I53 S15 S27" formula="1"/>
  </ignoredError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2143E5-5E97-4802-9F62-D4257BE1062C}">
  <dimension ref="A1:BE66"/>
  <sheetViews>
    <sheetView workbookViewId="0">
      <pane xSplit="1" ySplit="2" topLeftCell="B48" activePane="bottomRight" state="frozen"/>
      <selection pane="topRight" activeCell="B1" sqref="B1"/>
      <selection pane="bottomLeft" activeCell="A3" sqref="A3"/>
      <selection pane="bottomRight" activeCell="AX2" sqref="AX1:AX1048576"/>
    </sheetView>
  </sheetViews>
  <sheetFormatPr baseColWidth="10" defaultColWidth="11.5703125" defaultRowHeight="15" x14ac:dyDescent="0.25"/>
  <cols>
    <col min="1" max="1" width="8.28515625" customWidth="1"/>
    <col min="2" max="2" width="8.42578125" customWidth="1"/>
    <col min="3" max="3" width="8.7109375" customWidth="1"/>
    <col min="4" max="4" width="9" customWidth="1"/>
    <col min="5" max="5" width="9.140625" customWidth="1"/>
    <col min="6" max="6" width="8.28515625" customWidth="1"/>
    <col min="7" max="7" width="11.7109375" customWidth="1"/>
    <col min="8" max="8" width="8.85546875" customWidth="1"/>
    <col min="9" max="9" width="11.7109375" customWidth="1"/>
    <col min="10" max="10" width="9.5703125" customWidth="1"/>
    <col min="11" max="11" width="11.28515625" customWidth="1"/>
    <col min="12" max="12" width="10.140625" customWidth="1"/>
    <col min="13" max="13" width="8.42578125" customWidth="1"/>
    <col min="14" max="14" width="13.140625" customWidth="1"/>
    <col min="15" max="15" width="13.85546875" customWidth="1"/>
    <col min="16" max="16" width="11.5703125" customWidth="1"/>
    <col min="17" max="17" width="3" customWidth="1"/>
    <col min="18" max="18" width="9.140625" customWidth="1"/>
    <col min="19" max="19" width="10.140625" customWidth="1"/>
    <col min="20" max="20" width="9.5703125" customWidth="1"/>
    <col min="21" max="21" width="10.28515625" customWidth="1"/>
    <col min="22" max="22" width="10.5703125" customWidth="1"/>
    <col min="24" max="24" width="13.5703125" customWidth="1"/>
    <col min="25" max="25" width="10.42578125" customWidth="1"/>
    <col min="26" max="26" width="14.140625" customWidth="1"/>
    <col min="27" max="27" width="11.42578125" customWidth="1"/>
    <col min="30" max="30" width="12.42578125" customWidth="1"/>
    <col min="31" max="31" width="16.85546875" customWidth="1"/>
    <col min="32" max="32" width="12.7109375" customWidth="1"/>
    <col min="33" max="33" width="11.28515625" customWidth="1"/>
    <col min="34" max="34" width="9.5703125" customWidth="1"/>
    <col min="35" max="35" width="11.140625" customWidth="1"/>
    <col min="36" max="36" width="12.42578125" customWidth="1"/>
    <col min="37" max="37" width="11.140625" bestFit="1" customWidth="1"/>
    <col min="38" max="38" width="3.5703125" customWidth="1"/>
    <col min="39" max="39" width="8.7109375" customWidth="1"/>
    <col min="40" max="40" width="7" customWidth="1"/>
    <col min="41" max="41" width="7.140625" customWidth="1"/>
    <col min="42" max="42" width="9" customWidth="1"/>
    <col min="43" max="43" width="9.140625" customWidth="1"/>
    <col min="44" max="44" width="11.28515625" bestFit="1" customWidth="1"/>
    <col min="45" max="45" width="8.140625" bestFit="1" customWidth="1"/>
    <col min="47" max="47" width="10" bestFit="1" customWidth="1"/>
    <col min="48" max="48" width="10.140625" customWidth="1"/>
    <col min="49" max="49" width="13.42578125" bestFit="1" customWidth="1"/>
    <col min="50" max="50" width="10.5703125" bestFit="1" customWidth="1"/>
    <col min="51" max="51" width="13.140625" customWidth="1"/>
    <col min="52" max="52" width="12" customWidth="1"/>
    <col min="53" max="53" width="11.140625" customWidth="1"/>
    <col min="54" max="54" width="12" customWidth="1"/>
    <col min="55" max="55" width="6.85546875" customWidth="1"/>
  </cols>
  <sheetData>
    <row r="1" spans="1:57" x14ac:dyDescent="0.25">
      <c r="B1" s="104" t="s">
        <v>43</v>
      </c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26"/>
      <c r="P1" s="26"/>
      <c r="Q1" s="14"/>
      <c r="R1" s="105" t="s">
        <v>42</v>
      </c>
      <c r="S1" s="105"/>
      <c r="T1" s="105"/>
      <c r="U1" s="105"/>
      <c r="V1" s="105"/>
      <c r="W1" s="105"/>
      <c r="X1" s="105"/>
      <c r="Y1" s="105"/>
      <c r="Z1" s="105"/>
      <c r="AA1" s="105"/>
      <c r="AB1" s="105"/>
      <c r="AC1" s="105"/>
      <c r="AD1" s="105"/>
      <c r="AE1" s="105"/>
      <c r="AF1" s="105"/>
      <c r="AG1" s="105"/>
      <c r="AH1" s="105"/>
      <c r="AI1" s="105"/>
      <c r="AJ1" s="105"/>
      <c r="AK1" s="105"/>
      <c r="AM1" s="106" t="s">
        <v>73</v>
      </c>
      <c r="AN1" s="106"/>
      <c r="AO1" s="106"/>
      <c r="AP1" s="106"/>
      <c r="AQ1" s="106"/>
      <c r="AR1" s="106"/>
      <c r="AS1" s="106"/>
      <c r="AT1" s="106"/>
      <c r="AU1" s="106"/>
      <c r="AV1" s="106"/>
      <c r="AW1" s="106"/>
      <c r="AX1" s="106"/>
      <c r="AY1" s="106"/>
      <c r="AZ1" s="106"/>
      <c r="BA1" s="106"/>
      <c r="BB1" s="106"/>
      <c r="BC1" s="106"/>
      <c r="BD1" s="106"/>
      <c r="BE1" s="106"/>
    </row>
    <row r="2" spans="1:57" x14ac:dyDescent="0.25">
      <c r="A2" s="15" t="s">
        <v>30</v>
      </c>
      <c r="B2" s="27" t="s">
        <v>0</v>
      </c>
      <c r="C2" s="28" t="s">
        <v>53</v>
      </c>
      <c r="D2" s="28" t="s">
        <v>54</v>
      </c>
      <c r="E2" s="28" t="s">
        <v>39</v>
      </c>
      <c r="F2" s="28" t="s">
        <v>38</v>
      </c>
      <c r="G2" s="28" t="s">
        <v>2</v>
      </c>
      <c r="H2" s="28" t="s">
        <v>40</v>
      </c>
      <c r="I2" s="28" t="s">
        <v>41</v>
      </c>
      <c r="J2" s="27" t="s">
        <v>3</v>
      </c>
      <c r="K2" s="27" t="s">
        <v>1</v>
      </c>
      <c r="L2" s="27" t="s">
        <v>4</v>
      </c>
      <c r="M2" s="27" t="s">
        <v>5</v>
      </c>
      <c r="N2" s="27" t="s">
        <v>44</v>
      </c>
      <c r="O2" s="27" t="s">
        <v>45</v>
      </c>
      <c r="P2" s="27" t="s">
        <v>46</v>
      </c>
      <c r="Q2" s="16"/>
      <c r="R2" s="24" t="s">
        <v>26</v>
      </c>
      <c r="S2" s="25" t="s">
        <v>39</v>
      </c>
      <c r="T2" s="25" t="s">
        <v>38</v>
      </c>
      <c r="U2" s="25" t="s">
        <v>40</v>
      </c>
      <c r="V2" s="25" t="s">
        <v>41</v>
      </c>
      <c r="W2" s="24" t="s">
        <v>16</v>
      </c>
      <c r="X2" s="24" t="s">
        <v>17</v>
      </c>
      <c r="Y2" s="24" t="s">
        <v>18</v>
      </c>
      <c r="Z2" s="24" t="s">
        <v>19</v>
      </c>
      <c r="AA2" s="24" t="s">
        <v>20</v>
      </c>
      <c r="AB2" s="24" t="s">
        <v>21</v>
      </c>
      <c r="AC2" s="24" t="s">
        <v>22</v>
      </c>
      <c r="AD2" s="24" t="s">
        <v>23</v>
      </c>
      <c r="AE2" s="24" t="s">
        <v>24</v>
      </c>
      <c r="AF2" s="24" t="s">
        <v>25</v>
      </c>
      <c r="AG2" s="24" t="s">
        <v>31</v>
      </c>
      <c r="AH2" s="24" t="s">
        <v>27</v>
      </c>
      <c r="AI2" s="24" t="s">
        <v>28</v>
      </c>
      <c r="AJ2" s="24" t="s">
        <v>29</v>
      </c>
      <c r="AK2" s="24" t="s">
        <v>46</v>
      </c>
      <c r="AL2" s="16"/>
      <c r="AM2" s="22" t="s">
        <v>0</v>
      </c>
      <c r="AN2" s="22" t="s">
        <v>39</v>
      </c>
      <c r="AO2" s="22" t="s">
        <v>38</v>
      </c>
      <c r="AP2" s="22" t="s">
        <v>40</v>
      </c>
      <c r="AQ2" s="22" t="s">
        <v>41</v>
      </c>
      <c r="AR2" s="23" t="s">
        <v>2</v>
      </c>
      <c r="AS2" s="23" t="s">
        <v>3</v>
      </c>
      <c r="AT2" s="23" t="s">
        <v>1</v>
      </c>
      <c r="AU2" s="23" t="s">
        <v>4</v>
      </c>
      <c r="AV2" s="23" t="s">
        <v>5</v>
      </c>
      <c r="AW2" s="23" t="s">
        <v>44</v>
      </c>
      <c r="AX2" s="23" t="s">
        <v>45</v>
      </c>
      <c r="AY2" s="23" t="s">
        <v>50</v>
      </c>
      <c r="AZ2" s="23" t="s">
        <v>51</v>
      </c>
      <c r="BA2" s="23" t="s">
        <v>74</v>
      </c>
      <c r="BB2" s="23" t="s">
        <v>46</v>
      </c>
      <c r="BC2" s="23"/>
      <c r="BD2" s="23" t="s">
        <v>15</v>
      </c>
      <c r="BE2" s="23" t="s">
        <v>14</v>
      </c>
    </row>
    <row r="3" spans="1:57" x14ac:dyDescent="0.25">
      <c r="A3" s="7">
        <v>43101</v>
      </c>
      <c r="B3" s="9">
        <f>IF(Resumen!$B$14="Código",IF(A3&lt;DATE(2021,7,1),Resumen!$B$7,Resumen!$B$7+300),IF(A3&lt;DATE(2022,3,1),Resumen!$B$7,Resumen!$B$7+300))</f>
        <v>1212</v>
      </c>
      <c r="C3" s="76">
        <f>Detalle!C3</f>
        <v>11.83</v>
      </c>
      <c r="D3" s="76">
        <f>Detalle!D3</f>
        <v>7.77</v>
      </c>
      <c r="E3" s="4">
        <f>ROUND((B3/30/8)*1.5*C3,2)</f>
        <v>89.61</v>
      </c>
      <c r="F3" s="4">
        <f>ROUND((B3/30/8)*2*D3,2)</f>
        <v>78.48</v>
      </c>
      <c r="G3" s="4">
        <f>IF(Resumen!$B$14="Código",IF(A3&lt;DATE(2021,7,1),(Resumen!$B$7*0.25%)*DATEDIF("1/1/2009",A3,"y"),IF(Resumen!$B$9="Sí",(((B3*0.03)+(VLOOKUP(YEAR(A3),Resumen!$O$7:$P$12,2,0)*0.05))*DATEDIF(MAX("1/5/2008",Resumen!$B$6),A3,"y")),(((B3*0.03)+(VLOOKUP(YEAR(A3),Resumen!$O$7:$P$12,2,0)*0.05))*DATEDIF(Resumen!$B$6,A3,"y")))),IF(A3&lt;DATE(2022,3,1),(Resumen!$B$7*0.25%)*DATEDIF("1/1/2009",A3,"y"),IF(Resumen!$B$9="Sí",(((B3*0.03)+(VLOOKUP(YEAR(A3),Resumen!$O$7:$P$12,2,0)*0.05))*DATEDIF(MAX("1/5/2008",Resumen!$B$6),A3,"y")),(((B3*0.03)+(VLOOKUP(YEAR(A3),Resumen!$O$7:$P$12,2,0)*0.05))*DATEDIF(Resumen!$B$6,A3,"y")))))</f>
        <v>27.270000000000003</v>
      </c>
      <c r="H3" s="4">
        <f>ROUND((B3+E3+F3+G3)/12,2)</f>
        <v>117.28</v>
      </c>
      <c r="I3" s="4">
        <f>ROUND((B3+E3+F3+G3)*8.33%,2)</f>
        <v>117.23</v>
      </c>
      <c r="J3" s="1">
        <f>IF(Resumen!$B$14="Código",IF(A3&lt;DATE(2021,7,1),0,(0.03*(VLOOKUP(YEAR(A3),Resumen!$O$7:$P$12,2,0))*Resumen!$B$8)),IF(A3&lt;DATE(2022,3,1),0,(0.03*(VLOOKUP(YEAR(A3),Resumen!$O$7:$P$12,2,0))*Resumen!$B$8)))</f>
        <v>0</v>
      </c>
      <c r="K3" s="1">
        <f>IF(Resumen!$B$14="Código",IF(A3&lt;DATE(2021,7,1),0,50),IF(A3&lt;DATE(2022,3,1),0,50))</f>
        <v>0</v>
      </c>
      <c r="L3" s="1">
        <v>0</v>
      </c>
      <c r="M3" s="1">
        <v>0</v>
      </c>
      <c r="N3" s="1">
        <v>0</v>
      </c>
      <c r="O3" s="1">
        <v>0</v>
      </c>
      <c r="P3" s="1">
        <f>IF(Resumen!$B$14="Código",(B3+E3+F3+G3)*9.45%*-1,(B3+E3+F3+G3)*11.45%*-1)</f>
        <v>-161.14271999999997</v>
      </c>
      <c r="Q3" s="3"/>
      <c r="R3" s="9">
        <f>Resumen!$B$7+100</f>
        <v>1312</v>
      </c>
      <c r="S3" s="4">
        <f>ROUND((R3/30/8)*1.5*C3,2)</f>
        <v>97.01</v>
      </c>
      <c r="T3" s="4">
        <f>ROUND((R3/30/8)*2*D3,2)</f>
        <v>84.95</v>
      </c>
      <c r="U3" s="4">
        <f>ROUND((R3+S3+T3)/12,2)</f>
        <v>124.5</v>
      </c>
      <c r="V3" s="4">
        <f>ROUND((R3+S3+T3)*8.33%,2)</f>
        <v>124.45</v>
      </c>
      <c r="W3" s="4">
        <f>(0.03*(VLOOKUP(YEAR(A3),Resumen!$O$7:$P$12,2,0))*Resumen!$B$8)</f>
        <v>23.16</v>
      </c>
      <c r="X3" s="4">
        <f>IF(Resumen!$B$9="Sí",(((R3*0.03)+(VLOOKUP(YEAR(A3),Resumen!$O$7:$P$12,2,0)*0.05))*DATEDIF(MAX("1/5/2008",Resumen!$B$6),A3,"y")),(((R3*0.03)+(VLOOKUP(YEAR(A3),Resumen!$O$7:$P$12,2,0)*0.05))*DATEDIF(Resumen!$B$6,A3,"y")))</f>
        <v>410.62</v>
      </c>
      <c r="Y3" s="3">
        <v>50</v>
      </c>
      <c r="Z3" s="1">
        <f>IF(Resumen!$B$9="Sí",IF(DATEDIF("1/5/2008",A3,"M")/12=5,R3/2,IF(DATEDIF("1/5/2008",A3,"M")/12=10,R3,IF(DATEDIF("1/5/2008",A3,"M")/12=15,R3*1.5,IF(DATEDIF("1/5/2008",A3,"M")/12=20,R3*2,0)))),IF(DATEDIF(Resumen!$B$6,A3,"M")/12=5,R3/2,IF(DATEDIF(Resumen!$B$6,A3,"M")/12=10,R3,IF(DATEDIF(Resumen!$B$6,A3,"M")/12=15,R3*1.5,IF(DATEDIF(Resumen!$B$6,A3,"M")/12=20,R3*2,IF(DATEDIF(Resumen!$B$6,A3,"M")/12=25,R3*2.5,IF(DATEDIF(Resumen!$B$6,A3,"M")/12=30,R3*3)))))))</f>
        <v>0</v>
      </c>
      <c r="AA3" s="19">
        <f>(IF(Resumen!$B$20="Sí",IF(Resumen!$C$20&lt;=A3,IF(DATEDIF(Resumen!$C$20,A3,"Y")&lt;8,VLOOKUP(YEAR(A3),Resumen!$O$7:$P$12,2,0),0),0),0))+(IF(Resumen!$B$21="Sí",IF(Resumen!$C$21&lt;=A3,IF(DATEDIF(Resumen!$C$21,A3,"Y")&lt;8,VLOOKUP(YEAR(A3),Resumen!$O$7:$P$12,2,0),0),0),0))</f>
        <v>0</v>
      </c>
      <c r="AB3" s="1">
        <f>IF(MONTH(A3)=12,VLOOKUP(YEAR(A3),Resumen!$O$7:$P$12,2,0),0)</f>
        <v>0</v>
      </c>
      <c r="AC3" s="1">
        <f t="shared" ref="AC3:AC34" si="0">IF(MONTH(A3)=12,100,0)</f>
        <v>0</v>
      </c>
      <c r="AD3" s="19">
        <f>(IF(Resumen!$B$25="Sí",IF(DATE(YEAR(Resumen!$C$25),MONTH(Resumen!$C$25),1)=A3,1000,0)+(IF(Resumen!$B$26="Sí",IF(DATE(YEAR(Resumen!$C$26),MONTH(Resumen!$C$26),1)=A3,1000,0),0)),0))</f>
        <v>0</v>
      </c>
      <c r="AE3" s="1">
        <v>0</v>
      </c>
      <c r="AF3" s="1">
        <v>0</v>
      </c>
      <c r="AG3" s="19">
        <v>130</v>
      </c>
      <c r="AH3" s="1">
        <v>0</v>
      </c>
      <c r="AI3" s="19">
        <f>IF(MONTH(A3)=12,IF(Resumen!$B$9="Sí",(15+DATEDIF("1/5/2008",A3,"y")-5)*50,(15+DATEDIF(Resumen!$B$6,A3,"y")-5)*50),0)</f>
        <v>0</v>
      </c>
      <c r="AJ3" s="5">
        <f>IF(Resumen!$B$13="No",IF(Resumen!$B$12="No",20,100),0)</f>
        <v>20</v>
      </c>
      <c r="AK3" s="1">
        <f>IF(Resumen!$B$14="Código",(R3+S3+T3+X3)*9.45%*-1,(R3+S3+T3+X3)*11.45%*-1)</f>
        <v>-218.07440999999997</v>
      </c>
      <c r="AM3" s="3">
        <f t="shared" ref="AM3:AM34" si="1">R3-B3</f>
        <v>100</v>
      </c>
      <c r="AN3" s="4">
        <f t="shared" ref="AN3:AN34" si="2">S3-E3</f>
        <v>7.4000000000000057</v>
      </c>
      <c r="AO3" s="4">
        <f t="shared" ref="AO3:AO34" si="3">T3-F3</f>
        <v>6.4699999999999989</v>
      </c>
      <c r="AP3" s="4">
        <f t="shared" ref="AP3:AP34" si="4">U3-H3</f>
        <v>7.2199999999999989</v>
      </c>
      <c r="AQ3" s="4">
        <f t="shared" ref="AQ3:AQ34" si="5">V3-I3</f>
        <v>7.2199999999999989</v>
      </c>
      <c r="AR3" s="4">
        <f t="shared" ref="AR3:AR34" si="6">X3-G3</f>
        <v>383.35</v>
      </c>
      <c r="AS3" s="4">
        <f t="shared" ref="AS3:AS34" si="7">W3-J3</f>
        <v>23.16</v>
      </c>
      <c r="AT3" s="4">
        <f t="shared" ref="AT3:AT34" si="8">Y3-K3</f>
        <v>50</v>
      </c>
      <c r="AU3" s="6">
        <f t="shared" ref="AU3:AU34" si="9">AB3-L3</f>
        <v>0</v>
      </c>
      <c r="AV3" s="6">
        <f t="shared" ref="AV3:AV34" si="10">AC3-M3</f>
        <v>0</v>
      </c>
      <c r="AW3" s="6">
        <f t="shared" ref="AW3:AW34" si="11">AE3-N3</f>
        <v>0</v>
      </c>
      <c r="AX3" s="6">
        <f t="shared" ref="AX3:AX34" si="12">AJ3-O3</f>
        <v>20</v>
      </c>
      <c r="AY3" s="6">
        <f t="shared" ref="AY3:AY34" si="13">Z3</f>
        <v>0</v>
      </c>
      <c r="AZ3" s="6">
        <f t="shared" ref="AZ3:AZ34" si="14">AA3</f>
        <v>0</v>
      </c>
      <c r="BA3" s="6">
        <f t="shared" ref="BA3:BA34" si="15">AI3</f>
        <v>0</v>
      </c>
      <c r="BB3" s="6">
        <f t="shared" ref="BB3:BB34" si="16">AK3-P3</f>
        <v>-56.931690000000003</v>
      </c>
      <c r="BD3" s="3">
        <f t="shared" ref="BD3:BD34" si="17">SUM(AM3:BB3)</f>
        <v>547.88831000000005</v>
      </c>
      <c r="BE3" s="3">
        <v>0</v>
      </c>
    </row>
    <row r="4" spans="1:57" x14ac:dyDescent="0.25">
      <c r="A4" s="7">
        <v>43132</v>
      </c>
      <c r="B4" s="9">
        <f>IF(Resumen!$B$14="Código",IF(A4&lt;DATE(2021,7,1),Resumen!$B$7,Resumen!$B$7+300),IF(A4&lt;DATE(2022,3,1),Resumen!$B$7,Resumen!$B$7+300))</f>
        <v>1212</v>
      </c>
      <c r="C4" s="76">
        <f>Detalle!C4</f>
        <v>12</v>
      </c>
      <c r="D4" s="76">
        <f>Detalle!D4</f>
        <v>7.95</v>
      </c>
      <c r="E4" s="4">
        <f t="shared" ref="E4:E65" si="18">ROUND((B4/30/8)*1.5*C4,2)</f>
        <v>90.9</v>
      </c>
      <c r="F4" s="4">
        <f t="shared" ref="F4:F65" si="19">ROUND((B4/30/8)*2*D4,2)</f>
        <v>80.3</v>
      </c>
      <c r="G4" s="4">
        <f>IF(Resumen!$B$14="Código",IF(A4&lt;DATE(2021,7,1),(Resumen!$B$7*0.25%)*DATEDIF("1/1/2009",A4,"y"),IF(Resumen!$B$9="Sí",(((B4*0.03)+(VLOOKUP(YEAR(A4),Resumen!$O$7:$P$12,2,0)*0.05))*DATEDIF(MAX("1/5/2008",Resumen!$B$6),A4,"y")),(((B4*0.03)+(VLOOKUP(YEAR(A4),Resumen!$O$7:$P$12,2,0)*0.05))*DATEDIF(Resumen!$B$6,A4,"y")))),IF(A4&lt;DATE(2022,3,1),(Resumen!$B$7*0.25%)*DATEDIF("1/1/2009",A4,"y"),IF(Resumen!$B$9="Sí",(((B4*0.03)+(VLOOKUP(YEAR(A4),Resumen!$O$7:$P$12,2,0)*0.05))*DATEDIF(MAX("1/5/2008",Resumen!$B$6),A4,"y")),(((B4*0.03)+(VLOOKUP(YEAR(A4),Resumen!$O$7:$P$12,2,0)*0.05))*DATEDIF(Resumen!$B$6,A4,"y")))))</f>
        <v>27.270000000000003</v>
      </c>
      <c r="H4" s="4">
        <f t="shared" ref="H4:H52" si="20">ROUND((B4+E4+F4+G4)/12,2)</f>
        <v>117.54</v>
      </c>
      <c r="I4" s="4">
        <f t="shared" ref="I4:I52" si="21">ROUND((B4+E4+F4+G4)*8.33%,2)</f>
        <v>117.49</v>
      </c>
      <c r="J4" s="1">
        <f>IF(Resumen!$B$14="Código",IF(A4&lt;DATE(2021,7,1),0,(0.03*(VLOOKUP(YEAR(A4),Resumen!$O$7:$P$12,2,0))*Resumen!$B$8)),IF(A4&lt;DATE(2022,3,1),0,(0.03*(VLOOKUP(YEAR(A4),Resumen!$O$7:$P$12,2,0))*Resumen!$B$8)))</f>
        <v>0</v>
      </c>
      <c r="K4" s="1">
        <f>IF(Resumen!$B$14="Código",IF(A4&lt;DATE(2021,7,1),0,50),IF(A4&lt;DATE(2022,3,1),0,50))</f>
        <v>0</v>
      </c>
      <c r="L4" s="1">
        <v>0</v>
      </c>
      <c r="M4" s="1">
        <v>0</v>
      </c>
      <c r="N4" s="1">
        <v>0</v>
      </c>
      <c r="O4" s="1">
        <v>0</v>
      </c>
      <c r="P4" s="1">
        <f>IF(Resumen!$B$14="Código",(B4+E4+F4+G4)*9.45%*-1,(B4+E4+F4+G4)*11.45%*-1)</f>
        <v>-161.49881499999998</v>
      </c>
      <c r="Q4" s="3"/>
      <c r="R4" s="9">
        <f>R3</f>
        <v>1312</v>
      </c>
      <c r="S4" s="4">
        <f t="shared" ref="S4:S65" si="22">ROUND((R4/30/8)*1.5*C4,2)</f>
        <v>98.4</v>
      </c>
      <c r="T4" s="4">
        <f t="shared" ref="T4:T65" si="23">ROUND((R4/30/8)*2*D4,2)</f>
        <v>86.92</v>
      </c>
      <c r="U4" s="4">
        <f t="shared" ref="U4:U65" si="24">ROUND((R4+S4+T4)/12,2)</f>
        <v>124.78</v>
      </c>
      <c r="V4" s="4">
        <f t="shared" ref="V4:V65" si="25">ROUND((R4+S4+T4)*8.33%,2)</f>
        <v>124.73</v>
      </c>
      <c r="W4" s="4">
        <f>(0.03*(VLOOKUP(YEAR(A4),Resumen!$O$7:$P$12,2,0))*Resumen!$B$8)</f>
        <v>23.16</v>
      </c>
      <c r="X4" s="4">
        <f>IF(Resumen!$B$9="Sí",(((R4*0.03)+(VLOOKUP(YEAR(A4),Resumen!$O$7:$P$12,2,0)*0.05))*DATEDIF(MAX("1/5/2008",Resumen!$B$6),A4,"y")),(((R4*0.03)+(VLOOKUP(YEAR(A4),Resumen!$O$7:$P$12,2,0)*0.05))*DATEDIF(Resumen!$B$6,A4,"y")))</f>
        <v>469.28</v>
      </c>
      <c r="Y4" s="3">
        <v>50</v>
      </c>
      <c r="Z4" s="1">
        <f>IF(Resumen!$B$9="Sí",IF(DATEDIF("1/5/2008",A4,"M")/12=5,R4/2,IF(DATEDIF("1/5/2008",A4,"M")/12=10,R4,IF(DATEDIF("1/5/2008",A4,"M")/12=15,R4*1.5,IF(DATEDIF("1/5/2008",A4,"M")/12=20,R4*2,0)))),IF(DATEDIF(Resumen!$B$6,A4,"M")/12=5,R4/2,IF(DATEDIF(Resumen!$B$6,A4,"M")/12=10,R4,IF(DATEDIF(Resumen!$B$6,A4,"M")/12=15,R4*1.5,IF(DATEDIF(Resumen!$B$6,A4,"M")/12=20,R4*2,IF(DATEDIF(Resumen!$B$6,A4,"M")/12=25,R4*2.5,IF(DATEDIF(Resumen!$B$6,A4,"M")/12=30,R4*3)))))))</f>
        <v>0</v>
      </c>
      <c r="AA4" s="19">
        <f>(IF(Resumen!$B$20="Sí",IF(Resumen!$C$20&lt;=A4,IF(DATEDIF(Resumen!$C$20,A4,"Y")&lt;8,VLOOKUP(YEAR(A4),Resumen!$O$7:$P$12,2,0),0),0),0))+(IF(Resumen!$B$21="Sí",IF(Resumen!$C$21&lt;=A4,IF(DATEDIF(Resumen!$C$21,A4,"Y")&lt;8,VLOOKUP(YEAR(A4),Resumen!$O$7:$P$12,2,0),0),0),0))</f>
        <v>0</v>
      </c>
      <c r="AB4" s="1">
        <f>IF(MONTH(A4)=12,VLOOKUP(YEAR(A4),Resumen!$O$7:$P$12,2,0),0)</f>
        <v>0</v>
      </c>
      <c r="AC4" s="1">
        <f t="shared" si="0"/>
        <v>0</v>
      </c>
      <c r="AD4" s="19">
        <f>(IF(Resumen!$B$25="Sí",IF(DATE(YEAR(Resumen!$C$25),MONTH(Resumen!$C$25),1)=A4,1000,0)+(IF(Resumen!$B$26="Sí",IF(DATE(YEAR(Resumen!$C$26),MONTH(Resumen!$C$26),1)=A4,1000,0),0)),0))</f>
        <v>0</v>
      </c>
      <c r="AE4" s="1">
        <v>0</v>
      </c>
      <c r="AF4" s="1">
        <v>0</v>
      </c>
      <c r="AG4" s="19">
        <v>130</v>
      </c>
      <c r="AH4" s="1">
        <v>0</v>
      </c>
      <c r="AI4" s="19">
        <f>IF(MONTH(A4)=12,IF(Resumen!$B$9="Sí",(15+DATEDIF("1/5/2008",A4,"y")-5)*50,(15+DATEDIF(Resumen!$B$6,A4,"y")-5)*50),0)</f>
        <v>0</v>
      </c>
      <c r="AJ4" s="5">
        <f>IF(Resumen!$B$13="No",IF(Resumen!$B$12="No",20,100),0)</f>
        <v>20</v>
      </c>
      <c r="AK4" s="1">
        <f>IF(Resumen!$B$14="Código",(R4+S4+T4+X4)*9.45%*-1,(R4+S4+T4+X4)*11.45%*-1)</f>
        <v>-225.17570000000001</v>
      </c>
      <c r="AM4" s="3">
        <f t="shared" si="1"/>
        <v>100</v>
      </c>
      <c r="AN4" s="4">
        <f t="shared" si="2"/>
        <v>7.5</v>
      </c>
      <c r="AO4" s="4">
        <f t="shared" si="3"/>
        <v>6.6200000000000045</v>
      </c>
      <c r="AP4" s="4">
        <f t="shared" si="4"/>
        <v>7.2399999999999949</v>
      </c>
      <c r="AQ4" s="4">
        <f t="shared" si="5"/>
        <v>7.2400000000000091</v>
      </c>
      <c r="AR4" s="4">
        <f t="shared" si="6"/>
        <v>442.01</v>
      </c>
      <c r="AS4" s="4">
        <f t="shared" si="7"/>
        <v>23.16</v>
      </c>
      <c r="AT4" s="4">
        <f t="shared" si="8"/>
        <v>50</v>
      </c>
      <c r="AU4" s="6">
        <f t="shared" si="9"/>
        <v>0</v>
      </c>
      <c r="AV4" s="6">
        <f t="shared" si="10"/>
        <v>0</v>
      </c>
      <c r="AW4" s="6">
        <f t="shared" si="11"/>
        <v>0</v>
      </c>
      <c r="AX4" s="6">
        <f t="shared" si="12"/>
        <v>20</v>
      </c>
      <c r="AY4" s="6">
        <f t="shared" si="13"/>
        <v>0</v>
      </c>
      <c r="AZ4" s="6">
        <f t="shared" si="14"/>
        <v>0</v>
      </c>
      <c r="BA4" s="6">
        <f t="shared" si="15"/>
        <v>0</v>
      </c>
      <c r="BB4" s="6">
        <f t="shared" si="16"/>
        <v>-63.676885000000027</v>
      </c>
      <c r="BD4" s="3">
        <f t="shared" si="17"/>
        <v>600.0931149999999</v>
      </c>
      <c r="BE4" s="3">
        <v>0</v>
      </c>
    </row>
    <row r="5" spans="1:57" x14ac:dyDescent="0.25">
      <c r="A5" s="7">
        <v>43160</v>
      </c>
      <c r="B5" s="9">
        <f>IF(Resumen!$B$14="Código",IF(A5&lt;DATE(2021,7,1),Resumen!$B$7,Resumen!$B$7+300),IF(A5&lt;DATE(2022,3,1),Resumen!$B$7,Resumen!$B$7+300))</f>
        <v>1212</v>
      </c>
      <c r="C5" s="76">
        <f>Detalle!C5</f>
        <v>11.98</v>
      </c>
      <c r="D5" s="76">
        <f>Detalle!D5</f>
        <v>14.87</v>
      </c>
      <c r="E5" s="4">
        <f t="shared" si="18"/>
        <v>90.75</v>
      </c>
      <c r="F5" s="4">
        <f t="shared" si="19"/>
        <v>150.19</v>
      </c>
      <c r="G5" s="4">
        <f>IF(Resumen!$B$14="Código",IF(A5&lt;DATE(2021,7,1),(Resumen!$B$7*0.25%)*DATEDIF("1/1/2009",A5,"y"),IF(Resumen!$B$9="Sí",(((B5*0.03)+(VLOOKUP(YEAR(A5),Resumen!$O$7:$P$12,2,0)*0.05))*DATEDIF(MAX("1/5/2008",Resumen!$B$6),A5,"y")),(((B5*0.03)+(VLOOKUP(YEAR(A5),Resumen!$O$7:$P$12,2,0)*0.05))*DATEDIF(Resumen!$B$6,A5,"y")))),IF(A5&lt;DATE(2022,3,1),(Resumen!$B$7*0.25%)*DATEDIF("1/1/2009",A5,"y"),IF(Resumen!$B$9="Sí",(((B5*0.03)+(VLOOKUP(YEAR(A5),Resumen!$O$7:$P$12,2,0)*0.05))*DATEDIF(MAX("1/5/2008",Resumen!$B$6),A5,"y")),(((B5*0.03)+(VLOOKUP(YEAR(A5),Resumen!$O$7:$P$12,2,0)*0.05))*DATEDIF(Resumen!$B$6,A5,"y")))))</f>
        <v>27.270000000000003</v>
      </c>
      <c r="H5" s="4">
        <f t="shared" si="20"/>
        <v>123.35</v>
      </c>
      <c r="I5" s="4">
        <f t="shared" si="21"/>
        <v>123.3</v>
      </c>
      <c r="J5" s="1">
        <f>IF(Resumen!$B$14="Código",IF(A5&lt;DATE(2021,7,1),0,(0.03*(VLOOKUP(YEAR(A5),Resumen!$O$7:$P$12,2,0))*Resumen!$B$8)),IF(A5&lt;DATE(2022,3,1),0,(0.03*(VLOOKUP(YEAR(A5),Resumen!$O$7:$P$12,2,0))*Resumen!$B$8)))</f>
        <v>0</v>
      </c>
      <c r="K5" s="1">
        <f>IF(Resumen!$B$14="Código",IF(A5&lt;DATE(2021,7,1),0,50),IF(A5&lt;DATE(2022,3,1),0,50))</f>
        <v>0</v>
      </c>
      <c r="L5" s="1">
        <v>0</v>
      </c>
      <c r="M5" s="1">
        <v>0</v>
      </c>
      <c r="N5" s="1">
        <v>0</v>
      </c>
      <c r="O5" s="1">
        <v>0</v>
      </c>
      <c r="P5" s="1">
        <f>IF(Resumen!$B$14="Código",(B5+E5+F5+G5)*9.45%*-1,(B5+E5+F5+G5)*11.45%*-1)</f>
        <v>-169.48404499999998</v>
      </c>
      <c r="Q5" s="3"/>
      <c r="R5" s="9">
        <f t="shared" ref="R5:R14" si="26">R4</f>
        <v>1312</v>
      </c>
      <c r="S5" s="4">
        <f t="shared" si="22"/>
        <v>98.24</v>
      </c>
      <c r="T5" s="4">
        <f t="shared" si="23"/>
        <v>162.58000000000001</v>
      </c>
      <c r="U5" s="4">
        <f t="shared" si="24"/>
        <v>131.07</v>
      </c>
      <c r="V5" s="4">
        <f t="shared" si="25"/>
        <v>131.02000000000001</v>
      </c>
      <c r="W5" s="4">
        <f>(0.03*(VLOOKUP(YEAR(A5),Resumen!$O$7:$P$12,2,0))*Resumen!$B$8)</f>
        <v>23.16</v>
      </c>
      <c r="X5" s="4">
        <f>IF(Resumen!$B$9="Sí",(((R5*0.03)+(VLOOKUP(YEAR(A5),Resumen!$O$7:$P$12,2,0)*0.05))*DATEDIF(MAX("1/5/2008",Resumen!$B$6),A5,"y")),(((R5*0.03)+(VLOOKUP(YEAR(A5),Resumen!$O$7:$P$12,2,0)*0.05))*DATEDIF(Resumen!$B$6,A5,"y")))</f>
        <v>469.28</v>
      </c>
      <c r="Y5" s="3">
        <v>50</v>
      </c>
      <c r="Z5" s="1">
        <f>IF(Resumen!$B$9="Sí",IF(DATEDIF("1/5/2008",A5,"M")/12=5,R5/2,IF(DATEDIF("1/5/2008",A5,"M")/12=10,R5,IF(DATEDIF("1/5/2008",A5,"M")/12=15,R5*1.5,IF(DATEDIF("1/5/2008",A5,"M")/12=20,R5*2,0)))),IF(DATEDIF(Resumen!$B$6,A5,"M")/12=5,R5/2,IF(DATEDIF(Resumen!$B$6,A5,"M")/12=10,R5,IF(DATEDIF(Resumen!$B$6,A5,"M")/12=15,R5*1.5,IF(DATEDIF(Resumen!$B$6,A5,"M")/12=20,R5*2,IF(DATEDIF(Resumen!$B$6,A5,"M")/12=25,R5*2.5,IF(DATEDIF(Resumen!$B$6,A5,"M")/12=30,R5*3)))))))</f>
        <v>0</v>
      </c>
      <c r="AA5" s="19">
        <f>(IF(Resumen!$B$20="Sí",IF(Resumen!$C$20&lt;=A5,IF(DATEDIF(Resumen!$C$20,A5,"Y")&lt;8,VLOOKUP(YEAR(A5),Resumen!$O$7:$P$12,2,0),0),0),0))+(IF(Resumen!$B$21="Sí",IF(Resumen!$C$21&lt;=A5,IF(DATEDIF(Resumen!$C$21,A5,"Y")&lt;8,VLOOKUP(YEAR(A5),Resumen!$O$7:$P$12,2,0),0),0),0))</f>
        <v>0</v>
      </c>
      <c r="AB5" s="1">
        <f>IF(MONTH(A5)=12,VLOOKUP(YEAR(A5),Resumen!$O$7:$P$12,2,0),0)</f>
        <v>0</v>
      </c>
      <c r="AC5" s="1">
        <f t="shared" si="0"/>
        <v>0</v>
      </c>
      <c r="AD5" s="19">
        <f>(IF(Resumen!$B$25="Sí",IF(DATE(YEAR(Resumen!$C$25),MONTH(Resumen!$C$25),1)=A5,1000,0)+(IF(Resumen!$B$26="Sí",IF(DATE(YEAR(Resumen!$C$26),MONTH(Resumen!$C$26),1)=A5,1000,0),0)),0))</f>
        <v>0</v>
      </c>
      <c r="AE5" s="1">
        <v>0</v>
      </c>
      <c r="AF5" s="1">
        <v>0</v>
      </c>
      <c r="AG5" s="19">
        <v>130</v>
      </c>
      <c r="AH5" s="1">
        <v>0</v>
      </c>
      <c r="AI5" s="19">
        <f>IF(MONTH(A5)=12,IF(Resumen!$B$9="Sí",(15+DATEDIF("1/5/2008",A5,"y")-5)*50,(15+DATEDIF(Resumen!$B$6,A5,"y")-5)*50),0)</f>
        <v>0</v>
      </c>
      <c r="AJ5" s="5">
        <f>IF(Resumen!$B$13="No",IF(Resumen!$B$12="No",20,100),0)</f>
        <v>20</v>
      </c>
      <c r="AK5" s="1">
        <f>IF(Resumen!$B$14="Código",(R5+S5+T5+X5)*9.45%*-1,(R5+S5+T5+X5)*11.45%*-1)</f>
        <v>-233.82044999999997</v>
      </c>
      <c r="AM5" s="3">
        <f t="shared" si="1"/>
        <v>100</v>
      </c>
      <c r="AN5" s="4">
        <f t="shared" si="2"/>
        <v>7.4899999999999949</v>
      </c>
      <c r="AO5" s="4">
        <f t="shared" si="3"/>
        <v>12.390000000000015</v>
      </c>
      <c r="AP5" s="4">
        <f t="shared" si="4"/>
        <v>7.7199999999999989</v>
      </c>
      <c r="AQ5" s="4">
        <f t="shared" si="5"/>
        <v>7.7200000000000131</v>
      </c>
      <c r="AR5" s="4">
        <f t="shared" si="6"/>
        <v>442.01</v>
      </c>
      <c r="AS5" s="4">
        <f t="shared" si="7"/>
        <v>23.16</v>
      </c>
      <c r="AT5" s="4">
        <f t="shared" si="8"/>
        <v>50</v>
      </c>
      <c r="AU5" s="6">
        <f t="shared" si="9"/>
        <v>0</v>
      </c>
      <c r="AV5" s="6">
        <f t="shared" si="10"/>
        <v>0</v>
      </c>
      <c r="AW5" s="6">
        <f t="shared" si="11"/>
        <v>0</v>
      </c>
      <c r="AX5" s="6">
        <f t="shared" si="12"/>
        <v>20</v>
      </c>
      <c r="AY5" s="6">
        <f t="shared" si="13"/>
        <v>0</v>
      </c>
      <c r="AZ5" s="6">
        <f t="shared" si="14"/>
        <v>0</v>
      </c>
      <c r="BA5" s="6">
        <f t="shared" si="15"/>
        <v>0</v>
      </c>
      <c r="BB5" s="6">
        <f t="shared" si="16"/>
        <v>-64.336404999999985</v>
      </c>
      <c r="BD5" s="3">
        <f t="shared" si="17"/>
        <v>606.153595</v>
      </c>
      <c r="BE5" s="3">
        <v>0</v>
      </c>
    </row>
    <row r="6" spans="1:57" x14ac:dyDescent="0.25">
      <c r="A6" s="7">
        <v>43191</v>
      </c>
      <c r="B6" s="9">
        <f>IF(Resumen!$B$14="Código",IF(A6&lt;DATE(2021,7,1),Resumen!$B$7,Resumen!$B$7+300),IF(A6&lt;DATE(2022,3,1),Resumen!$B$7,Resumen!$B$7+300))</f>
        <v>1212</v>
      </c>
      <c r="C6" s="76">
        <f>Detalle!C6</f>
        <v>1</v>
      </c>
      <c r="D6" s="76">
        <f>Detalle!D6</f>
        <v>21.62</v>
      </c>
      <c r="E6" s="4">
        <f t="shared" si="18"/>
        <v>7.58</v>
      </c>
      <c r="F6" s="4">
        <f t="shared" si="19"/>
        <v>218.36</v>
      </c>
      <c r="G6" s="4">
        <f>IF(Resumen!$B$14="Código",IF(A6&lt;DATE(2021,7,1),(Resumen!$B$7*0.25%)*DATEDIF("1/1/2009",A6,"y"),IF(Resumen!$B$9="Sí",(((B6*0.03)+(VLOOKUP(YEAR(A6),Resumen!$O$7:$P$12,2,0)*0.05))*DATEDIF(MAX("1/5/2008",Resumen!$B$6),A6,"y")),(((B6*0.03)+(VLOOKUP(YEAR(A6),Resumen!$O$7:$P$12,2,0)*0.05))*DATEDIF(Resumen!$B$6,A6,"y")))),IF(A6&lt;DATE(2022,3,1),(Resumen!$B$7*0.25%)*DATEDIF("1/1/2009",A6,"y"),IF(Resumen!$B$9="Sí",(((B6*0.03)+(VLOOKUP(YEAR(A6),Resumen!$O$7:$P$12,2,0)*0.05))*DATEDIF(MAX("1/5/2008",Resumen!$B$6),A6,"y")),(((B6*0.03)+(VLOOKUP(YEAR(A6),Resumen!$O$7:$P$12,2,0)*0.05))*DATEDIF(Resumen!$B$6,A6,"y")))))</f>
        <v>27.270000000000003</v>
      </c>
      <c r="H6" s="4">
        <f t="shared" si="20"/>
        <v>122.1</v>
      </c>
      <c r="I6" s="4">
        <f t="shared" si="21"/>
        <v>122.05</v>
      </c>
      <c r="J6" s="1">
        <f>IF(Resumen!$B$14="Código",IF(A6&lt;DATE(2021,7,1),0,(0.03*(VLOOKUP(YEAR(A6),Resumen!$O$7:$P$12,2,0))*Resumen!$B$8)),IF(A6&lt;DATE(2022,3,1),0,(0.03*(VLOOKUP(YEAR(A6),Resumen!$O$7:$P$12,2,0))*Resumen!$B$8)))</f>
        <v>0</v>
      </c>
      <c r="K6" s="1">
        <f>IF(Resumen!$B$14="Código",IF(A6&lt;DATE(2021,7,1),0,50),IF(A6&lt;DATE(2022,3,1),0,50))</f>
        <v>0</v>
      </c>
      <c r="L6" s="1">
        <v>0</v>
      </c>
      <c r="M6" s="1">
        <v>0</v>
      </c>
      <c r="N6" s="1">
        <v>0</v>
      </c>
      <c r="O6" s="1">
        <v>0</v>
      </c>
      <c r="P6" s="1">
        <f>IF(Resumen!$B$14="Código",(B6+E6+F6+G6)*9.45%*-1,(B6+E6+F6+G6)*11.45%*-1)</f>
        <v>-167.76654499999998</v>
      </c>
      <c r="Q6" s="3"/>
      <c r="R6" s="9">
        <f t="shared" si="26"/>
        <v>1312</v>
      </c>
      <c r="S6" s="4">
        <f t="shared" si="22"/>
        <v>8.1999999999999993</v>
      </c>
      <c r="T6" s="4">
        <f t="shared" si="23"/>
        <v>236.38</v>
      </c>
      <c r="U6" s="4">
        <f t="shared" si="24"/>
        <v>129.72</v>
      </c>
      <c r="V6" s="4">
        <f t="shared" si="25"/>
        <v>129.66</v>
      </c>
      <c r="W6" s="4">
        <f>(0.03*(VLOOKUP(YEAR(A6),Resumen!$O$7:$P$12,2,0))*Resumen!$B$8)</f>
        <v>23.16</v>
      </c>
      <c r="X6" s="4">
        <f>IF(Resumen!$B$9="Sí",(((R6*0.03)+(VLOOKUP(YEAR(A6),Resumen!$O$7:$P$12,2,0)*0.05))*DATEDIF(MAX("1/5/2008",Resumen!$B$6),A6,"y")),(((R6*0.03)+(VLOOKUP(YEAR(A6),Resumen!$O$7:$P$12,2,0)*0.05))*DATEDIF(Resumen!$B$6,A6,"y")))</f>
        <v>469.28</v>
      </c>
      <c r="Y6" s="3">
        <v>50</v>
      </c>
      <c r="Z6" s="1">
        <f>IF(Resumen!$B$9="Sí",IF(DATEDIF("1/5/2008",A6,"M")/12=5,R6/2,IF(DATEDIF("1/5/2008",A6,"M")/12=10,R6,IF(DATEDIF("1/5/2008",A6,"M")/12=15,R6*1.5,IF(DATEDIF("1/5/2008",A6,"M")/12=20,R6*2,0)))),IF(DATEDIF(Resumen!$B$6,A6,"M")/12=5,R6/2,IF(DATEDIF(Resumen!$B$6,A6,"M")/12=10,R6,IF(DATEDIF(Resumen!$B$6,A6,"M")/12=15,R6*1.5,IF(DATEDIF(Resumen!$B$6,A6,"M")/12=20,R6*2,IF(DATEDIF(Resumen!$B$6,A6,"M")/12=25,R6*2.5,IF(DATEDIF(Resumen!$B$6,A6,"M")/12=30,R6*3)))))))</f>
        <v>0</v>
      </c>
      <c r="AA6" s="19">
        <f>(IF(Resumen!$B$20="Sí",IF(Resumen!$C$20&lt;=A6,IF(DATEDIF(Resumen!$C$20,A6,"Y")&lt;8,VLOOKUP(YEAR(A6),Resumen!$O$7:$P$12,2,0),0),0),0))+(IF(Resumen!$B$21="Sí",IF(Resumen!$C$21&lt;=A6,IF(DATEDIF(Resumen!$C$21,A6,"Y")&lt;8,VLOOKUP(YEAR(A6),Resumen!$O$7:$P$12,2,0),0),0),0))</f>
        <v>0</v>
      </c>
      <c r="AB6" s="1">
        <f>IF(MONTH(A6)=12,VLOOKUP(YEAR(A6),Resumen!$O$7:$P$12,2,0),0)</f>
        <v>0</v>
      </c>
      <c r="AC6" s="1">
        <f t="shared" si="0"/>
        <v>0</v>
      </c>
      <c r="AD6" s="19">
        <f>(IF(Resumen!$B$25="Sí",IF(DATE(YEAR(Resumen!$C$25),MONTH(Resumen!$C$25),1)=A6,1000,0)+(IF(Resumen!$B$26="Sí",IF(DATE(YEAR(Resumen!$C$26),MONTH(Resumen!$C$26),1)=A6,1000,0),0)),0))</f>
        <v>0</v>
      </c>
      <c r="AE6" s="1">
        <v>0</v>
      </c>
      <c r="AF6" s="1">
        <v>0</v>
      </c>
      <c r="AG6" s="19">
        <v>130</v>
      </c>
      <c r="AH6" s="1">
        <v>0</v>
      </c>
      <c r="AI6" s="19">
        <f>IF(MONTH(A6)=12,IF(Resumen!$B$9="Sí",(15+DATEDIF("1/5/2008",A6,"y")-5)*50,(15+DATEDIF(Resumen!$B$6,A6,"y")-5)*50),0)</f>
        <v>0</v>
      </c>
      <c r="AJ6" s="5">
        <f>IF(Resumen!$B$13="No",IF(Resumen!$B$12="No",20,100),0)</f>
        <v>20</v>
      </c>
      <c r="AK6" s="1">
        <f>IF(Resumen!$B$14="Código",(R6+S6+T6+X6)*9.45%*-1,(R6+S6+T6+X6)*11.45%*-1)</f>
        <v>-231.96096999999997</v>
      </c>
      <c r="AM6" s="3">
        <f t="shared" si="1"/>
        <v>100</v>
      </c>
      <c r="AN6" s="4">
        <f t="shared" si="2"/>
        <v>0.61999999999999922</v>
      </c>
      <c r="AO6" s="4">
        <f t="shared" si="3"/>
        <v>18.019999999999982</v>
      </c>
      <c r="AP6" s="4">
        <f t="shared" si="4"/>
        <v>7.6200000000000045</v>
      </c>
      <c r="AQ6" s="4">
        <f t="shared" si="5"/>
        <v>7.6099999999999994</v>
      </c>
      <c r="AR6" s="4">
        <f t="shared" si="6"/>
        <v>442.01</v>
      </c>
      <c r="AS6" s="4">
        <f t="shared" si="7"/>
        <v>23.16</v>
      </c>
      <c r="AT6" s="4">
        <f t="shared" si="8"/>
        <v>50</v>
      </c>
      <c r="AU6" s="6">
        <f t="shared" si="9"/>
        <v>0</v>
      </c>
      <c r="AV6" s="6">
        <f t="shared" si="10"/>
        <v>0</v>
      </c>
      <c r="AW6" s="6">
        <f t="shared" si="11"/>
        <v>0</v>
      </c>
      <c r="AX6" s="6">
        <f t="shared" si="12"/>
        <v>20</v>
      </c>
      <c r="AY6" s="6">
        <f t="shared" si="13"/>
        <v>0</v>
      </c>
      <c r="AZ6" s="6">
        <f t="shared" si="14"/>
        <v>0</v>
      </c>
      <c r="BA6" s="6">
        <f t="shared" si="15"/>
        <v>0</v>
      </c>
      <c r="BB6" s="6">
        <f t="shared" si="16"/>
        <v>-64.194424999999995</v>
      </c>
      <c r="BD6" s="3">
        <f t="shared" si="17"/>
        <v>604.84557499999994</v>
      </c>
      <c r="BE6" s="3">
        <v>0</v>
      </c>
    </row>
    <row r="7" spans="1:57" x14ac:dyDescent="0.25">
      <c r="A7" s="7">
        <v>43221</v>
      </c>
      <c r="B7" s="9">
        <f>IF(Resumen!$B$14="Código",IF(A7&lt;DATE(2021,7,1),Resumen!$B$7,Resumen!$B$7+300),IF(A7&lt;DATE(2022,3,1),Resumen!$B$7,Resumen!$B$7+300))</f>
        <v>1212</v>
      </c>
      <c r="C7" s="76">
        <f>Detalle!C7</f>
        <v>6.97</v>
      </c>
      <c r="D7" s="76">
        <f>Detalle!D7</f>
        <v>9</v>
      </c>
      <c r="E7" s="4">
        <f t="shared" si="18"/>
        <v>52.8</v>
      </c>
      <c r="F7" s="4">
        <f t="shared" si="19"/>
        <v>90.9</v>
      </c>
      <c r="G7" s="4">
        <f>IF(Resumen!$B$14="Código",IF(A7&lt;DATE(2021,7,1),(Resumen!$B$7*0.25%)*DATEDIF("1/1/2009",A7,"y"),IF(Resumen!$B$9="Sí",(((B7*0.03)+(VLOOKUP(YEAR(A7),Resumen!$O$7:$P$12,2,0)*0.05))*DATEDIF(MAX("1/5/2008",Resumen!$B$6),A7,"y")),(((B7*0.03)+(VLOOKUP(YEAR(A7),Resumen!$O$7:$P$12,2,0)*0.05))*DATEDIF(Resumen!$B$6,A7,"y")))),IF(A7&lt;DATE(2022,3,1),(Resumen!$B$7*0.25%)*DATEDIF("1/1/2009",A7,"y"),IF(Resumen!$B$9="Sí",(((B7*0.03)+(VLOOKUP(YEAR(A7),Resumen!$O$7:$P$12,2,0)*0.05))*DATEDIF(MAX("1/5/2008",Resumen!$B$6),A7,"y")),(((B7*0.03)+(VLOOKUP(YEAR(A7),Resumen!$O$7:$P$12,2,0)*0.05))*DATEDIF(Resumen!$B$6,A7,"y")))))</f>
        <v>27.270000000000003</v>
      </c>
      <c r="H7" s="4">
        <f t="shared" si="20"/>
        <v>115.25</v>
      </c>
      <c r="I7" s="4">
        <f t="shared" si="21"/>
        <v>115.2</v>
      </c>
      <c r="J7" s="1">
        <f>IF(Resumen!$B$14="Código",IF(A7&lt;DATE(2021,7,1),0,(0.03*(VLOOKUP(YEAR(A7),Resumen!$O$7:$P$12,2,0))*Resumen!$B$8)),IF(A7&lt;DATE(2022,3,1),0,(0.03*(VLOOKUP(YEAR(A7),Resumen!$O$7:$P$12,2,0))*Resumen!$B$8)))</f>
        <v>0</v>
      </c>
      <c r="K7" s="1">
        <f>IF(Resumen!$B$14="Código",IF(A7&lt;DATE(2021,7,1),0,50),IF(A7&lt;DATE(2022,3,1),0,50))</f>
        <v>0</v>
      </c>
      <c r="L7" s="1">
        <v>0</v>
      </c>
      <c r="M7" s="1">
        <v>0</v>
      </c>
      <c r="N7" s="1">
        <v>0</v>
      </c>
      <c r="O7" s="1">
        <v>0</v>
      </c>
      <c r="P7" s="1">
        <f>IF(Resumen!$B$14="Código",(B7+E7+F7+G7)*9.45%*-1,(B7+E7+F7+G7)*11.45%*-1)</f>
        <v>-158.350065</v>
      </c>
      <c r="Q7" s="3"/>
      <c r="R7" s="9">
        <f t="shared" si="26"/>
        <v>1312</v>
      </c>
      <c r="S7" s="4">
        <f t="shared" si="22"/>
        <v>57.15</v>
      </c>
      <c r="T7" s="4">
        <f t="shared" si="23"/>
        <v>98.4</v>
      </c>
      <c r="U7" s="4">
        <f t="shared" si="24"/>
        <v>122.3</v>
      </c>
      <c r="V7" s="4">
        <f t="shared" si="25"/>
        <v>122.25</v>
      </c>
      <c r="W7" s="4">
        <f>(0.03*(VLOOKUP(YEAR(A7),Resumen!$O$7:$P$12,2,0))*Resumen!$B$8)</f>
        <v>23.16</v>
      </c>
      <c r="X7" s="4">
        <f>IF(Resumen!$B$9="Sí",(((R7*0.03)+(VLOOKUP(YEAR(A7),Resumen!$O$7:$P$12,2,0)*0.05))*DATEDIF(MAX("1/5/2008",Resumen!$B$6),A7,"y")),(((R7*0.03)+(VLOOKUP(YEAR(A7),Resumen!$O$7:$P$12,2,0)*0.05))*DATEDIF(Resumen!$B$6,A7,"y")))</f>
        <v>469.28</v>
      </c>
      <c r="Y7" s="3">
        <v>50</v>
      </c>
      <c r="Z7" s="1">
        <f>IF(Resumen!$B$9="Sí",IF(DATEDIF("1/5/2008",A7,"M")/12=5,R7/2,IF(DATEDIF("1/5/2008",A7,"M")/12=10,R7,IF(DATEDIF("1/5/2008",A7,"M")/12=15,R7*1.5,IF(DATEDIF("1/5/2008",A7,"M")/12=20,R7*2,0)))),IF(DATEDIF(Resumen!$B$6,A7,"M")/12=5,R7/2,IF(DATEDIF(Resumen!$B$6,A7,"M")/12=10,R7,IF(DATEDIF(Resumen!$B$6,A7,"M")/12=15,R7*1.5,IF(DATEDIF(Resumen!$B$6,A7,"M")/12=20,R7*2,IF(DATEDIF(Resumen!$B$6,A7,"M")/12=25,R7*2.5,IF(DATEDIF(Resumen!$B$6,A7,"M")/12=30,R7*3)))))))</f>
        <v>1312</v>
      </c>
      <c r="AA7" s="19">
        <f>(IF(Resumen!$B$20="Sí",IF(Resumen!$C$20&lt;=A7,IF(DATEDIF(Resumen!$C$20,A7,"Y")&lt;8,VLOOKUP(YEAR(A7),Resumen!$O$7:$P$12,2,0),0),0),0))+(IF(Resumen!$B$21="Sí",IF(Resumen!$C$21&lt;=A7,IF(DATEDIF(Resumen!$C$21,A7,"Y")&lt;8,VLOOKUP(YEAR(A7),Resumen!$O$7:$P$12,2,0),0),0),0))</f>
        <v>0</v>
      </c>
      <c r="AB7" s="1">
        <f>IF(MONTH(A7)=12,VLOOKUP(YEAR(A7),Resumen!$O$7:$P$12,2,0),0)</f>
        <v>0</v>
      </c>
      <c r="AC7" s="1">
        <f t="shared" si="0"/>
        <v>0</v>
      </c>
      <c r="AD7" s="19">
        <f>(IF(Resumen!$B$25="Sí",IF(DATE(YEAR(Resumen!$C$25),MONTH(Resumen!$C$25),1)=A7,1000,0)+(IF(Resumen!$B$26="Sí",IF(DATE(YEAR(Resumen!$C$26),MONTH(Resumen!$C$26),1)=A7,1000,0),0)),0))</f>
        <v>0</v>
      </c>
      <c r="AE7" s="1">
        <v>0</v>
      </c>
      <c r="AF7" s="1">
        <v>0</v>
      </c>
      <c r="AG7" s="19">
        <v>130</v>
      </c>
      <c r="AH7" s="1">
        <v>0</v>
      </c>
      <c r="AI7" s="19">
        <f>IF(MONTH(A7)=12,IF(Resumen!$B$9="Sí",(15+DATEDIF("1/5/2008",A7,"y")-5)*50,(15+DATEDIF(Resumen!$B$6,A7,"y")-5)*50),0)</f>
        <v>0</v>
      </c>
      <c r="AJ7" s="5">
        <f>IF(Resumen!$B$13="No",IF(Resumen!$B$12="No",20,100),0)</f>
        <v>20</v>
      </c>
      <c r="AK7" s="1">
        <f>IF(Resumen!$B$14="Código",(R7+S7+T7+X7)*9.45%*-1,(R7+S7+T7+X7)*11.45%*-1)</f>
        <v>-221.76703499999999</v>
      </c>
      <c r="AM7" s="3">
        <f t="shared" si="1"/>
        <v>100</v>
      </c>
      <c r="AN7" s="4">
        <f t="shared" si="2"/>
        <v>4.3500000000000014</v>
      </c>
      <c r="AO7" s="4">
        <f t="shared" si="3"/>
        <v>7.5</v>
      </c>
      <c r="AP7" s="4">
        <f t="shared" si="4"/>
        <v>7.0499999999999972</v>
      </c>
      <c r="AQ7" s="4">
        <f t="shared" si="5"/>
        <v>7.0499999999999972</v>
      </c>
      <c r="AR7" s="4">
        <f t="shared" si="6"/>
        <v>442.01</v>
      </c>
      <c r="AS7" s="4">
        <f t="shared" si="7"/>
        <v>23.16</v>
      </c>
      <c r="AT7" s="4">
        <f t="shared" si="8"/>
        <v>50</v>
      </c>
      <c r="AU7" s="6">
        <f t="shared" si="9"/>
        <v>0</v>
      </c>
      <c r="AV7" s="6">
        <f t="shared" si="10"/>
        <v>0</v>
      </c>
      <c r="AW7" s="6">
        <f t="shared" si="11"/>
        <v>0</v>
      </c>
      <c r="AX7" s="6">
        <f t="shared" si="12"/>
        <v>20</v>
      </c>
      <c r="AY7" s="6">
        <f t="shared" si="13"/>
        <v>1312</v>
      </c>
      <c r="AZ7" s="6">
        <f t="shared" si="14"/>
        <v>0</v>
      </c>
      <c r="BA7" s="6">
        <f t="shared" si="15"/>
        <v>0</v>
      </c>
      <c r="BB7" s="6">
        <f t="shared" si="16"/>
        <v>-63.416969999999992</v>
      </c>
      <c r="BD7" s="3">
        <f t="shared" si="17"/>
        <v>1909.7030299999999</v>
      </c>
      <c r="BE7" s="3">
        <v>0</v>
      </c>
    </row>
    <row r="8" spans="1:57" x14ac:dyDescent="0.25">
      <c r="A8" s="7">
        <v>43252</v>
      </c>
      <c r="B8" s="9">
        <f>IF(Resumen!$B$14="Código",IF(A8&lt;DATE(2021,7,1),Resumen!$B$7,Resumen!$B$7+300),IF(A8&lt;DATE(2022,3,1),Resumen!$B$7,Resumen!$B$7+300))</f>
        <v>1212</v>
      </c>
      <c r="C8" s="76">
        <f>Detalle!C8</f>
        <v>0</v>
      </c>
      <c r="D8" s="76">
        <f>Detalle!D8</f>
        <v>13.7</v>
      </c>
      <c r="E8" s="4">
        <f t="shared" si="18"/>
        <v>0</v>
      </c>
      <c r="F8" s="4">
        <f t="shared" si="19"/>
        <v>138.37</v>
      </c>
      <c r="G8" s="4">
        <f>IF(Resumen!$B$14="Código",IF(A8&lt;DATE(2021,7,1),(Resumen!$B$7*0.25%)*DATEDIF("1/1/2009",A8,"y"),IF(Resumen!$B$9="Sí",(((B8*0.03)+(VLOOKUP(YEAR(A8),Resumen!$O$7:$P$12,2,0)*0.05))*DATEDIF(MAX("1/5/2008",Resumen!$B$6),A8,"y")),(((B8*0.03)+(VLOOKUP(YEAR(A8),Resumen!$O$7:$P$12,2,0)*0.05))*DATEDIF(Resumen!$B$6,A8,"y")))),IF(A8&lt;DATE(2022,3,1),(Resumen!$B$7*0.25%)*DATEDIF("1/1/2009",A8,"y"),IF(Resumen!$B$9="Sí",(((B8*0.03)+(VLOOKUP(YEAR(A8),Resumen!$O$7:$P$12,2,0)*0.05))*DATEDIF(MAX("1/5/2008",Resumen!$B$6),A8,"y")),(((B8*0.03)+(VLOOKUP(YEAR(A8),Resumen!$O$7:$P$12,2,0)*0.05))*DATEDIF(Resumen!$B$6,A8,"y")))))</f>
        <v>27.270000000000003</v>
      </c>
      <c r="H8" s="4">
        <f t="shared" si="20"/>
        <v>114.8</v>
      </c>
      <c r="I8" s="4">
        <f t="shared" si="21"/>
        <v>114.76</v>
      </c>
      <c r="J8" s="1">
        <f>IF(Resumen!$B$14="Código",IF(A8&lt;DATE(2021,7,1),0,(0.03*(VLOOKUP(YEAR(A8),Resumen!$O$7:$P$12,2,0))*Resumen!$B$8)),IF(A8&lt;DATE(2022,3,1),0,(0.03*(VLOOKUP(YEAR(A8),Resumen!$O$7:$P$12,2,0))*Resumen!$B$8)))</f>
        <v>0</v>
      </c>
      <c r="K8" s="1">
        <f>IF(Resumen!$B$14="Código",IF(A8&lt;DATE(2021,7,1),0,50),IF(A8&lt;DATE(2022,3,1),0,50))</f>
        <v>0</v>
      </c>
      <c r="L8" s="1">
        <v>0</v>
      </c>
      <c r="M8" s="1">
        <v>0</v>
      </c>
      <c r="N8" s="1">
        <v>0</v>
      </c>
      <c r="O8" s="1">
        <v>0</v>
      </c>
      <c r="P8" s="1">
        <f>IF(Resumen!$B$14="Código",(B8+E8+F8+G8)*9.45%*-1,(B8+E8+F8+G8)*11.45%*-1)</f>
        <v>-157.73977999999997</v>
      </c>
      <c r="Q8" s="3"/>
      <c r="R8" s="9">
        <f t="shared" si="26"/>
        <v>1312</v>
      </c>
      <c r="S8" s="4">
        <f t="shared" si="22"/>
        <v>0</v>
      </c>
      <c r="T8" s="4">
        <f t="shared" si="23"/>
        <v>149.79</v>
      </c>
      <c r="U8" s="4">
        <f t="shared" si="24"/>
        <v>121.82</v>
      </c>
      <c r="V8" s="4">
        <f t="shared" si="25"/>
        <v>121.77</v>
      </c>
      <c r="W8" s="4">
        <f>(0.03*(VLOOKUP(YEAR(A8),Resumen!$O$7:$P$12,2,0))*Resumen!$B$8)</f>
        <v>23.16</v>
      </c>
      <c r="X8" s="4">
        <f>IF(Resumen!$B$9="Sí",(((R8*0.03)+(VLOOKUP(YEAR(A8),Resumen!$O$7:$P$12,2,0)*0.05))*DATEDIF(MAX("1/5/2008",Resumen!$B$6),A8,"y")),(((R8*0.03)+(VLOOKUP(YEAR(A8),Resumen!$O$7:$P$12,2,0)*0.05))*DATEDIF(Resumen!$B$6,A8,"y")))</f>
        <v>469.28</v>
      </c>
      <c r="Y8" s="3">
        <v>50</v>
      </c>
      <c r="Z8" s="1">
        <f>IF(Resumen!$B$9="Sí",IF(DATEDIF("1/5/2008",A8,"M")/12=5,R8/2,IF(DATEDIF("1/5/2008",A8,"M")/12=10,R8,IF(DATEDIF("1/5/2008",A8,"M")/12=15,R8*1.5,IF(DATEDIF("1/5/2008",A8,"M")/12=20,R8*2,0)))),IF(DATEDIF(Resumen!$B$6,A8,"M")/12=5,R8/2,IF(DATEDIF(Resumen!$B$6,A8,"M")/12=10,R8,IF(DATEDIF(Resumen!$B$6,A8,"M")/12=15,R8*1.5,IF(DATEDIF(Resumen!$B$6,A8,"M")/12=20,R8*2,IF(DATEDIF(Resumen!$B$6,A8,"M")/12=25,R8*2.5,IF(DATEDIF(Resumen!$B$6,A8,"M")/12=30,R8*3)))))))</f>
        <v>0</v>
      </c>
      <c r="AA8" s="19">
        <f>(IF(Resumen!$B$20="Sí",IF(Resumen!$C$20&lt;=A8,IF(DATEDIF(Resumen!$C$20,A8,"Y")&lt;8,VLOOKUP(YEAR(A8),Resumen!$O$7:$P$12,2,0),0),0),0))+(IF(Resumen!$B$21="Sí",IF(Resumen!$C$21&lt;=A8,IF(DATEDIF(Resumen!$C$21,A8,"Y")&lt;8,VLOOKUP(YEAR(A8),Resumen!$O$7:$P$12,2,0),0),0),0))</f>
        <v>0</v>
      </c>
      <c r="AB8" s="1">
        <f>IF(MONTH(A8)=12,VLOOKUP(YEAR(A8),Resumen!$O$7:$P$12,2,0),0)</f>
        <v>0</v>
      </c>
      <c r="AC8" s="1">
        <f t="shared" si="0"/>
        <v>0</v>
      </c>
      <c r="AD8" s="19">
        <f>(IF(Resumen!$B$25="Sí",IF(DATE(YEAR(Resumen!$C$25),MONTH(Resumen!$C$25),1)=A8,1000,0)+(IF(Resumen!$B$26="Sí",IF(DATE(YEAR(Resumen!$C$26),MONTH(Resumen!$C$26),1)=A8,1000,0),0)),0))</f>
        <v>0</v>
      </c>
      <c r="AE8" s="1">
        <v>0</v>
      </c>
      <c r="AF8" s="1">
        <v>0</v>
      </c>
      <c r="AG8" s="19">
        <v>130</v>
      </c>
      <c r="AH8" s="1">
        <v>0</v>
      </c>
      <c r="AI8" s="19">
        <f>IF(MONTH(A8)=12,IF(Resumen!$B$9="Sí",(15+DATEDIF("1/5/2008",A8,"y")-5)*50,(15+DATEDIF(Resumen!$B$6,A8,"y")-5)*50),0)</f>
        <v>0</v>
      </c>
      <c r="AJ8" s="5">
        <f>IF(Resumen!$B$13="No",IF(Resumen!$B$12="No",20,100),0)</f>
        <v>20</v>
      </c>
      <c r="AK8" s="1">
        <f>IF(Resumen!$B$14="Código",(R8+S8+T8+X8)*9.45%*-1,(R8+S8+T8+X8)*11.45%*-1)</f>
        <v>-221.10751499999998</v>
      </c>
      <c r="AM8" s="3">
        <f t="shared" si="1"/>
        <v>100</v>
      </c>
      <c r="AN8" s="4">
        <f t="shared" si="2"/>
        <v>0</v>
      </c>
      <c r="AO8" s="4">
        <f t="shared" si="3"/>
        <v>11.419999999999987</v>
      </c>
      <c r="AP8" s="4">
        <f t="shared" si="4"/>
        <v>7.019999999999996</v>
      </c>
      <c r="AQ8" s="4">
        <f t="shared" si="5"/>
        <v>7.0099999999999909</v>
      </c>
      <c r="AR8" s="4">
        <f t="shared" si="6"/>
        <v>442.01</v>
      </c>
      <c r="AS8" s="4">
        <f t="shared" si="7"/>
        <v>23.16</v>
      </c>
      <c r="AT8" s="4">
        <f t="shared" si="8"/>
        <v>50</v>
      </c>
      <c r="AU8" s="6">
        <f t="shared" si="9"/>
        <v>0</v>
      </c>
      <c r="AV8" s="6">
        <f t="shared" si="10"/>
        <v>0</v>
      </c>
      <c r="AW8" s="6">
        <f t="shared" si="11"/>
        <v>0</v>
      </c>
      <c r="AX8" s="6">
        <f t="shared" si="12"/>
        <v>20</v>
      </c>
      <c r="AY8" s="6">
        <f t="shared" si="13"/>
        <v>0</v>
      </c>
      <c r="AZ8" s="6">
        <f t="shared" si="14"/>
        <v>0</v>
      </c>
      <c r="BA8" s="6">
        <f t="shared" si="15"/>
        <v>0</v>
      </c>
      <c r="BB8" s="6">
        <f t="shared" si="16"/>
        <v>-63.36773500000001</v>
      </c>
      <c r="BD8" s="3">
        <f t="shared" si="17"/>
        <v>597.25226499999985</v>
      </c>
      <c r="BE8" s="3">
        <v>0</v>
      </c>
    </row>
    <row r="9" spans="1:57" x14ac:dyDescent="0.25">
      <c r="A9" s="7">
        <v>43282</v>
      </c>
      <c r="B9" s="9">
        <f>IF(Resumen!$B$14="Código",IF(A9&lt;DATE(2021,7,1),Resumen!$B$7,Resumen!$B$7+300),IF(A9&lt;DATE(2022,3,1),Resumen!$B$7,Resumen!$B$7+300))</f>
        <v>1212</v>
      </c>
      <c r="C9" s="76">
        <f>Detalle!C9</f>
        <v>12</v>
      </c>
      <c r="D9" s="76">
        <f>Detalle!D9</f>
        <v>16</v>
      </c>
      <c r="E9" s="4">
        <f t="shared" si="18"/>
        <v>90.9</v>
      </c>
      <c r="F9" s="4">
        <f t="shared" si="19"/>
        <v>161.6</v>
      </c>
      <c r="G9" s="4">
        <f>IF(Resumen!$B$14="Código",IF(A9&lt;DATE(2021,7,1),(Resumen!$B$7*0.25%)*DATEDIF("1/1/2009",A9,"y"),IF(Resumen!$B$9="Sí",(((B9*0.03)+(VLOOKUP(YEAR(A9),Resumen!$O$7:$P$12,2,0)*0.05))*DATEDIF(MAX("1/5/2008",Resumen!$B$6),A9,"y")),(((B9*0.03)+(VLOOKUP(YEAR(A9),Resumen!$O$7:$P$12,2,0)*0.05))*DATEDIF(Resumen!$B$6,A9,"y")))),IF(A9&lt;DATE(2022,3,1),(Resumen!$B$7*0.25%)*DATEDIF("1/1/2009",A9,"y"),IF(Resumen!$B$9="Sí",(((B9*0.03)+(VLOOKUP(YEAR(A9),Resumen!$O$7:$P$12,2,0)*0.05))*DATEDIF(MAX("1/5/2008",Resumen!$B$6),A9,"y")),(((B9*0.03)+(VLOOKUP(YEAR(A9),Resumen!$O$7:$P$12,2,0)*0.05))*DATEDIF(Resumen!$B$6,A9,"y")))))</f>
        <v>27.270000000000003</v>
      </c>
      <c r="H9" s="4">
        <f t="shared" si="20"/>
        <v>124.31</v>
      </c>
      <c r="I9" s="4">
        <f t="shared" si="21"/>
        <v>124.26</v>
      </c>
      <c r="J9" s="1">
        <f>IF(Resumen!$B$14="Código",IF(A9&lt;DATE(2021,7,1),0,(0.03*(VLOOKUP(YEAR(A9),Resumen!$O$7:$P$12,2,0))*Resumen!$B$8)),IF(A9&lt;DATE(2022,3,1),0,(0.03*(VLOOKUP(YEAR(A9),Resumen!$O$7:$P$12,2,0))*Resumen!$B$8)))</f>
        <v>0</v>
      </c>
      <c r="K9" s="1">
        <f>IF(Resumen!$B$14="Código",IF(A9&lt;DATE(2021,7,1),0,50),IF(A9&lt;DATE(2022,3,1),0,50))</f>
        <v>0</v>
      </c>
      <c r="L9" s="1">
        <v>0</v>
      </c>
      <c r="M9" s="1">
        <v>0</v>
      </c>
      <c r="N9" s="1">
        <v>0</v>
      </c>
      <c r="O9" s="1">
        <v>0</v>
      </c>
      <c r="P9" s="1">
        <f>IF(Resumen!$B$14="Código",(B9+E9+F9+G9)*9.45%*-1,(B9+E9+F9+G9)*11.45%*-1)</f>
        <v>-170.80766499999999</v>
      </c>
      <c r="Q9" s="3"/>
      <c r="R9" s="9">
        <f t="shared" si="26"/>
        <v>1312</v>
      </c>
      <c r="S9" s="4">
        <f t="shared" si="22"/>
        <v>98.4</v>
      </c>
      <c r="T9" s="4">
        <f t="shared" si="23"/>
        <v>174.93</v>
      </c>
      <c r="U9" s="4">
        <f t="shared" si="24"/>
        <v>132.11000000000001</v>
      </c>
      <c r="V9" s="4">
        <f t="shared" si="25"/>
        <v>132.06</v>
      </c>
      <c r="W9" s="4">
        <f>(0.03*(VLOOKUP(YEAR(A9),Resumen!$O$7:$P$12,2,0))*Resumen!$B$8)</f>
        <v>23.16</v>
      </c>
      <c r="X9" s="4">
        <f>IF(Resumen!$B$9="Sí",(((R9*0.03)+(VLOOKUP(YEAR(A9),Resumen!$O$7:$P$12,2,0)*0.05))*DATEDIF(MAX("1/5/2008",Resumen!$B$6),A9,"y")),(((R9*0.03)+(VLOOKUP(YEAR(A9),Resumen!$O$7:$P$12,2,0)*0.05))*DATEDIF(Resumen!$B$6,A9,"y")))</f>
        <v>469.28</v>
      </c>
      <c r="Y9" s="3">
        <v>50</v>
      </c>
      <c r="Z9" s="1">
        <f>IF(Resumen!$B$9="Sí",IF(DATEDIF("1/5/2008",A9,"M")/12=5,R9/2,IF(DATEDIF("1/5/2008",A9,"M")/12=10,R9,IF(DATEDIF("1/5/2008",A9,"M")/12=15,R9*1.5,IF(DATEDIF("1/5/2008",A9,"M")/12=20,R9*2,0)))),IF(DATEDIF(Resumen!$B$6,A9,"M")/12=5,R9/2,IF(DATEDIF(Resumen!$B$6,A9,"M")/12=10,R9,IF(DATEDIF(Resumen!$B$6,A9,"M")/12=15,R9*1.5,IF(DATEDIF(Resumen!$B$6,A9,"M")/12=20,R9*2,IF(DATEDIF(Resumen!$B$6,A9,"M")/12=25,R9*2.5,IF(DATEDIF(Resumen!$B$6,A9,"M")/12=30,R9*3)))))))</f>
        <v>0</v>
      </c>
      <c r="AA9" s="19">
        <f>(IF(Resumen!$B$20="Sí",IF(Resumen!$C$20&lt;=A9,IF(DATEDIF(Resumen!$C$20,A9,"Y")&lt;8,VLOOKUP(YEAR(A9),Resumen!$O$7:$P$12,2,0),0),0),0))+(IF(Resumen!$B$21="Sí",IF(Resumen!$C$21&lt;=A9,IF(DATEDIF(Resumen!$C$21,A9,"Y")&lt;8,VLOOKUP(YEAR(A9),Resumen!$O$7:$P$12,2,0),0),0),0))</f>
        <v>0</v>
      </c>
      <c r="AB9" s="1">
        <f>IF(MONTH(A9)=12,VLOOKUP(YEAR(A9),Resumen!$O$7:$P$12,2,0),0)</f>
        <v>0</v>
      </c>
      <c r="AC9" s="1">
        <f t="shared" si="0"/>
        <v>0</v>
      </c>
      <c r="AD9" s="19">
        <f>(IF(Resumen!$B$25="Sí",IF(DATE(YEAR(Resumen!$C$25),MONTH(Resumen!$C$25),1)=A9,1000,0)+(IF(Resumen!$B$26="Sí",IF(DATE(YEAR(Resumen!$C$26),MONTH(Resumen!$C$26),1)=A9,1000,0),0)),0))</f>
        <v>0</v>
      </c>
      <c r="AE9" s="1">
        <v>0</v>
      </c>
      <c r="AF9" s="1">
        <v>0</v>
      </c>
      <c r="AG9" s="19">
        <v>130</v>
      </c>
      <c r="AH9" s="1">
        <v>0</v>
      </c>
      <c r="AI9" s="19">
        <f>IF(MONTH(A9)=12,IF(Resumen!$B$9="Sí",(15+DATEDIF("1/5/2008",A9,"y")-5)*50,(15+DATEDIF(Resumen!$B$6,A9,"y")-5)*50),0)</f>
        <v>0</v>
      </c>
      <c r="AJ9" s="5">
        <f>IF(Resumen!$B$13="No",IF(Resumen!$B$12="No",20,100),0)</f>
        <v>20</v>
      </c>
      <c r="AK9" s="1">
        <f>IF(Resumen!$B$14="Código",(R9+S9+T9+X9)*9.45%*-1,(R9+S9+T9+X9)*11.45%*-1)</f>
        <v>-235.25284500000001</v>
      </c>
      <c r="AM9" s="3">
        <f t="shared" si="1"/>
        <v>100</v>
      </c>
      <c r="AN9" s="4">
        <f t="shared" si="2"/>
        <v>7.5</v>
      </c>
      <c r="AO9" s="4">
        <f t="shared" si="3"/>
        <v>13.330000000000013</v>
      </c>
      <c r="AP9" s="4">
        <f t="shared" si="4"/>
        <v>7.8000000000000114</v>
      </c>
      <c r="AQ9" s="4">
        <f t="shared" si="5"/>
        <v>7.7999999999999972</v>
      </c>
      <c r="AR9" s="4">
        <f t="shared" si="6"/>
        <v>442.01</v>
      </c>
      <c r="AS9" s="4">
        <f t="shared" si="7"/>
        <v>23.16</v>
      </c>
      <c r="AT9" s="4">
        <f t="shared" si="8"/>
        <v>50</v>
      </c>
      <c r="AU9" s="6">
        <f t="shared" si="9"/>
        <v>0</v>
      </c>
      <c r="AV9" s="6">
        <f t="shared" si="10"/>
        <v>0</v>
      </c>
      <c r="AW9" s="6">
        <f t="shared" si="11"/>
        <v>0</v>
      </c>
      <c r="AX9" s="6">
        <f t="shared" si="12"/>
        <v>20</v>
      </c>
      <c r="AY9" s="6">
        <f t="shared" si="13"/>
        <v>0</v>
      </c>
      <c r="AZ9" s="6">
        <f t="shared" si="14"/>
        <v>0</v>
      </c>
      <c r="BA9" s="6">
        <f t="shared" si="15"/>
        <v>0</v>
      </c>
      <c r="BB9" s="6">
        <f t="shared" si="16"/>
        <v>-64.445180000000022</v>
      </c>
      <c r="BD9" s="3">
        <f t="shared" si="17"/>
        <v>607.15481999999997</v>
      </c>
      <c r="BE9" s="3">
        <v>0</v>
      </c>
    </row>
    <row r="10" spans="1:57" x14ac:dyDescent="0.25">
      <c r="A10" s="7">
        <v>43313</v>
      </c>
      <c r="B10" s="9">
        <f>IF(Resumen!$B$14="Código",IF(A10&lt;DATE(2021,7,1),Resumen!$B$7,Resumen!$B$7+300),IF(A10&lt;DATE(2022,3,1),Resumen!$B$7,Resumen!$B$7+300))</f>
        <v>1212</v>
      </c>
      <c r="C10" s="76">
        <f>Detalle!C10</f>
        <v>12</v>
      </c>
      <c r="D10" s="76">
        <f>Detalle!D10</f>
        <v>15.8</v>
      </c>
      <c r="E10" s="4">
        <f t="shared" si="18"/>
        <v>90.9</v>
      </c>
      <c r="F10" s="4">
        <f t="shared" si="19"/>
        <v>159.58000000000001</v>
      </c>
      <c r="G10" s="4">
        <f>IF(Resumen!$B$14="Código",IF(A10&lt;DATE(2021,7,1),(Resumen!$B$7*0.25%)*DATEDIF("1/1/2009",A10,"y"),IF(Resumen!$B$9="Sí",(((B10*0.03)+(VLOOKUP(YEAR(A10),Resumen!$O$7:$P$12,2,0)*0.05))*DATEDIF(MAX("1/5/2008",Resumen!$B$6),A10,"y")),(((B10*0.03)+(VLOOKUP(YEAR(A10),Resumen!$O$7:$P$12,2,0)*0.05))*DATEDIF(Resumen!$B$6,A10,"y")))),IF(A10&lt;DATE(2022,3,1),(Resumen!$B$7*0.25%)*DATEDIF("1/1/2009",A10,"y"),IF(Resumen!$B$9="Sí",(((B10*0.03)+(VLOOKUP(YEAR(A10),Resumen!$O$7:$P$12,2,0)*0.05))*DATEDIF(MAX("1/5/2008",Resumen!$B$6),A10,"y")),(((B10*0.03)+(VLOOKUP(YEAR(A10),Resumen!$O$7:$P$12,2,0)*0.05))*DATEDIF(Resumen!$B$6,A10,"y")))))</f>
        <v>27.270000000000003</v>
      </c>
      <c r="H10" s="4">
        <f t="shared" si="20"/>
        <v>124.15</v>
      </c>
      <c r="I10" s="4">
        <f t="shared" si="21"/>
        <v>124.1</v>
      </c>
      <c r="J10" s="1">
        <f>IF(Resumen!$B$14="Código",IF(A10&lt;DATE(2021,7,1),0,(0.03*(VLOOKUP(YEAR(A10),Resumen!$O$7:$P$12,2,0))*Resumen!$B$8)),IF(A10&lt;DATE(2022,3,1),0,(0.03*(VLOOKUP(YEAR(A10),Resumen!$O$7:$P$12,2,0))*Resumen!$B$8)))</f>
        <v>0</v>
      </c>
      <c r="K10" s="1">
        <f>IF(Resumen!$B$14="Código",IF(A10&lt;DATE(2021,7,1),0,50),IF(A10&lt;DATE(2022,3,1),0,50))</f>
        <v>0</v>
      </c>
      <c r="L10" s="1">
        <v>0</v>
      </c>
      <c r="M10" s="1">
        <v>0</v>
      </c>
      <c r="N10" s="1">
        <v>0</v>
      </c>
      <c r="O10" s="1">
        <v>0</v>
      </c>
      <c r="P10" s="1">
        <f>IF(Resumen!$B$14="Código",(B10+E10+F10+G10)*9.45%*-1,(B10+E10+F10+G10)*11.45%*-1)</f>
        <v>-170.57637499999998</v>
      </c>
      <c r="Q10" s="3"/>
      <c r="R10" s="9">
        <f t="shared" si="26"/>
        <v>1312</v>
      </c>
      <c r="S10" s="4">
        <f t="shared" si="22"/>
        <v>98.4</v>
      </c>
      <c r="T10" s="4">
        <f t="shared" si="23"/>
        <v>172.75</v>
      </c>
      <c r="U10" s="4">
        <f t="shared" si="24"/>
        <v>131.93</v>
      </c>
      <c r="V10" s="4">
        <f t="shared" si="25"/>
        <v>131.88</v>
      </c>
      <c r="W10" s="4">
        <f>(0.03*(VLOOKUP(YEAR(A10),Resumen!$O$7:$P$12,2,0))*Resumen!$B$8)</f>
        <v>23.16</v>
      </c>
      <c r="X10" s="4">
        <f>IF(Resumen!$B$9="Sí",(((R10*0.03)+(VLOOKUP(YEAR(A10),Resumen!$O$7:$P$12,2,0)*0.05))*DATEDIF(MAX("1/5/2008",Resumen!$B$6),A10,"y")),(((R10*0.03)+(VLOOKUP(YEAR(A10),Resumen!$O$7:$P$12,2,0)*0.05))*DATEDIF(Resumen!$B$6,A10,"y")))</f>
        <v>469.28</v>
      </c>
      <c r="Y10" s="3">
        <v>50</v>
      </c>
      <c r="Z10" s="1">
        <f>IF(Resumen!$B$9="Sí",IF(DATEDIF("1/5/2008",A10,"M")/12=5,R10/2,IF(DATEDIF("1/5/2008",A10,"M")/12=10,R10,IF(DATEDIF("1/5/2008",A10,"M")/12=15,R10*1.5,IF(DATEDIF("1/5/2008",A10,"M")/12=20,R10*2,0)))),IF(DATEDIF(Resumen!$B$6,A10,"M")/12=5,R10/2,IF(DATEDIF(Resumen!$B$6,A10,"M")/12=10,R10,IF(DATEDIF(Resumen!$B$6,A10,"M")/12=15,R10*1.5,IF(DATEDIF(Resumen!$B$6,A10,"M")/12=20,R10*2,IF(DATEDIF(Resumen!$B$6,A10,"M")/12=25,R10*2.5,IF(DATEDIF(Resumen!$B$6,A10,"M")/12=30,R10*3)))))))</f>
        <v>0</v>
      </c>
      <c r="AA10" s="19">
        <f>(IF(Resumen!$B$20="Sí",IF(Resumen!$C$20&lt;=A10,IF(DATEDIF(Resumen!$C$20,A10,"Y")&lt;8,VLOOKUP(YEAR(A10),Resumen!$O$7:$P$12,2,0),0),0),0))+(IF(Resumen!$B$21="Sí",IF(Resumen!$C$21&lt;=A10,IF(DATEDIF(Resumen!$C$21,A10,"Y")&lt;8,VLOOKUP(YEAR(A10),Resumen!$O$7:$P$12,2,0),0),0),0))</f>
        <v>0</v>
      </c>
      <c r="AB10" s="1">
        <f>IF(MONTH(A10)=12,VLOOKUP(YEAR(A10),Resumen!$O$7:$P$12,2,0),0)</f>
        <v>0</v>
      </c>
      <c r="AC10" s="1">
        <f t="shared" si="0"/>
        <v>0</v>
      </c>
      <c r="AD10" s="19">
        <f>(IF(Resumen!$B$25="Sí",IF(DATE(YEAR(Resumen!$C$25),MONTH(Resumen!$C$25),1)=A10,1000,0)+(IF(Resumen!$B$26="Sí",IF(DATE(YEAR(Resumen!$C$26),MONTH(Resumen!$C$26),1)=A10,1000,0),0)),0))</f>
        <v>0</v>
      </c>
      <c r="AE10" s="1">
        <v>0</v>
      </c>
      <c r="AF10" s="1">
        <v>0</v>
      </c>
      <c r="AG10" s="19">
        <v>130</v>
      </c>
      <c r="AH10" s="1">
        <v>0</v>
      </c>
      <c r="AI10" s="19">
        <f>IF(MONTH(A10)=12,IF(Resumen!$B$9="Sí",(15+DATEDIF("1/5/2008",A10,"y")-5)*50,(15+DATEDIF(Resumen!$B$6,A10,"y")-5)*50),0)</f>
        <v>0</v>
      </c>
      <c r="AJ10" s="5">
        <f>IF(Resumen!$B$13="No",IF(Resumen!$B$12="No",20,100),0)</f>
        <v>20</v>
      </c>
      <c r="AK10" s="1">
        <f>IF(Resumen!$B$14="Código",(R10+S10+T10+X10)*9.45%*-1,(R10+S10+T10+X10)*11.45%*-1)</f>
        <v>-235.00323500000002</v>
      </c>
      <c r="AM10" s="3">
        <f t="shared" si="1"/>
        <v>100</v>
      </c>
      <c r="AN10" s="4">
        <f t="shared" si="2"/>
        <v>7.5</v>
      </c>
      <c r="AO10" s="4">
        <f t="shared" si="3"/>
        <v>13.169999999999987</v>
      </c>
      <c r="AP10" s="4">
        <f t="shared" si="4"/>
        <v>7.7800000000000011</v>
      </c>
      <c r="AQ10" s="4">
        <f t="shared" si="5"/>
        <v>7.7800000000000011</v>
      </c>
      <c r="AR10" s="4">
        <f t="shared" si="6"/>
        <v>442.01</v>
      </c>
      <c r="AS10" s="4">
        <f t="shared" si="7"/>
        <v>23.16</v>
      </c>
      <c r="AT10" s="4">
        <f t="shared" si="8"/>
        <v>50</v>
      </c>
      <c r="AU10" s="6">
        <f t="shared" si="9"/>
        <v>0</v>
      </c>
      <c r="AV10" s="6">
        <f t="shared" si="10"/>
        <v>0</v>
      </c>
      <c r="AW10" s="6">
        <f t="shared" si="11"/>
        <v>0</v>
      </c>
      <c r="AX10" s="6">
        <f t="shared" si="12"/>
        <v>20</v>
      </c>
      <c r="AY10" s="6">
        <f t="shared" si="13"/>
        <v>0</v>
      </c>
      <c r="AZ10" s="6">
        <f t="shared" si="14"/>
        <v>0</v>
      </c>
      <c r="BA10" s="6">
        <f t="shared" si="15"/>
        <v>0</v>
      </c>
      <c r="BB10" s="6">
        <f t="shared" si="16"/>
        <v>-64.426860000000033</v>
      </c>
      <c r="BD10" s="3">
        <f t="shared" si="17"/>
        <v>606.97313999999994</v>
      </c>
      <c r="BE10" s="3">
        <v>0</v>
      </c>
    </row>
    <row r="11" spans="1:57" x14ac:dyDescent="0.25">
      <c r="A11" s="7">
        <v>43344</v>
      </c>
      <c r="B11" s="9">
        <f>IF(Resumen!$B$14="Código",IF(A11&lt;DATE(2021,7,1),Resumen!$B$7,Resumen!$B$7+300),IF(A11&lt;DATE(2022,3,1),Resumen!$B$7,Resumen!$B$7+300))</f>
        <v>1212</v>
      </c>
      <c r="C11" s="76">
        <f>Detalle!C11</f>
        <v>14</v>
      </c>
      <c r="D11" s="76">
        <f>Detalle!D11</f>
        <v>15.92</v>
      </c>
      <c r="E11" s="4">
        <f t="shared" si="18"/>
        <v>106.05</v>
      </c>
      <c r="F11" s="4">
        <f t="shared" si="19"/>
        <v>160.79</v>
      </c>
      <c r="G11" s="4">
        <f>IF(Resumen!$B$14="Código",IF(A11&lt;DATE(2021,7,1),(Resumen!$B$7*0.25%)*DATEDIF("1/1/2009",A11,"y"),IF(Resumen!$B$9="Sí",(((B11*0.03)+(VLOOKUP(YEAR(A11),Resumen!$O$7:$P$12,2,0)*0.05))*DATEDIF(MAX("1/5/2008",Resumen!$B$6),A11,"y")),(((B11*0.03)+(VLOOKUP(YEAR(A11),Resumen!$O$7:$P$12,2,0)*0.05))*DATEDIF(Resumen!$B$6,A11,"y")))),IF(A11&lt;DATE(2022,3,1),(Resumen!$B$7*0.25%)*DATEDIF("1/1/2009",A11,"y"),IF(Resumen!$B$9="Sí",(((B11*0.03)+(VLOOKUP(YEAR(A11),Resumen!$O$7:$P$12,2,0)*0.05))*DATEDIF(MAX("1/5/2008",Resumen!$B$6),A11,"y")),(((B11*0.03)+(VLOOKUP(YEAR(A11),Resumen!$O$7:$P$12,2,0)*0.05))*DATEDIF(Resumen!$B$6,A11,"y")))))</f>
        <v>27.270000000000003</v>
      </c>
      <c r="H11" s="4">
        <f t="shared" si="20"/>
        <v>125.51</v>
      </c>
      <c r="I11" s="4">
        <f t="shared" si="21"/>
        <v>125.46</v>
      </c>
      <c r="J11" s="1">
        <f>IF(Resumen!$B$14="Código",IF(A11&lt;DATE(2021,7,1),0,(0.03*(VLOOKUP(YEAR(A11),Resumen!$O$7:$P$12,2,0))*Resumen!$B$8)),IF(A11&lt;DATE(2022,3,1),0,(0.03*(VLOOKUP(YEAR(A11),Resumen!$O$7:$P$12,2,0))*Resumen!$B$8)))</f>
        <v>0</v>
      </c>
      <c r="K11" s="1">
        <f>IF(Resumen!$B$14="Código",IF(A11&lt;DATE(2021,7,1),0,50),IF(A11&lt;DATE(2022,3,1),0,50))</f>
        <v>0</v>
      </c>
      <c r="L11" s="1">
        <v>0</v>
      </c>
      <c r="M11" s="1">
        <v>0</v>
      </c>
      <c r="N11" s="1">
        <v>0</v>
      </c>
      <c r="O11" s="1">
        <v>0</v>
      </c>
      <c r="P11" s="1">
        <f>IF(Resumen!$B$14="Código",(B11+E11+F11+G11)*9.45%*-1,(B11+E11+F11+G11)*11.45%*-1)</f>
        <v>-172.44959499999999</v>
      </c>
      <c r="Q11" s="3"/>
      <c r="R11" s="9">
        <f t="shared" si="26"/>
        <v>1312</v>
      </c>
      <c r="S11" s="4">
        <f t="shared" si="22"/>
        <v>114.8</v>
      </c>
      <c r="T11" s="4">
        <f t="shared" si="23"/>
        <v>174.06</v>
      </c>
      <c r="U11" s="4">
        <f t="shared" si="24"/>
        <v>133.41</v>
      </c>
      <c r="V11" s="4">
        <f t="shared" si="25"/>
        <v>133.35</v>
      </c>
      <c r="W11" s="4">
        <f>(0.03*(VLOOKUP(YEAR(A11),Resumen!$O$7:$P$12,2,0))*Resumen!$B$8)</f>
        <v>23.16</v>
      </c>
      <c r="X11" s="4">
        <f>IF(Resumen!$B$9="Sí",(((R11*0.03)+(VLOOKUP(YEAR(A11),Resumen!$O$7:$P$12,2,0)*0.05))*DATEDIF(MAX("1/5/2008",Resumen!$B$6),A11,"y")),(((R11*0.03)+(VLOOKUP(YEAR(A11),Resumen!$O$7:$P$12,2,0)*0.05))*DATEDIF(Resumen!$B$6,A11,"y")))</f>
        <v>469.28</v>
      </c>
      <c r="Y11" s="3">
        <v>50</v>
      </c>
      <c r="Z11" s="1">
        <f>IF(Resumen!$B$9="Sí",IF(DATEDIF("1/5/2008",A11,"M")/12=5,R11/2,IF(DATEDIF("1/5/2008",A11,"M")/12=10,R11,IF(DATEDIF("1/5/2008",A11,"M")/12=15,R11*1.5,IF(DATEDIF("1/5/2008",A11,"M")/12=20,R11*2,0)))),IF(DATEDIF(Resumen!$B$6,A11,"M")/12=5,R11/2,IF(DATEDIF(Resumen!$B$6,A11,"M")/12=10,R11,IF(DATEDIF(Resumen!$B$6,A11,"M")/12=15,R11*1.5,IF(DATEDIF(Resumen!$B$6,A11,"M")/12=20,R11*2,IF(DATEDIF(Resumen!$B$6,A11,"M")/12=25,R11*2.5,IF(DATEDIF(Resumen!$B$6,A11,"M")/12=30,R11*3)))))))</f>
        <v>0</v>
      </c>
      <c r="AA11" s="19">
        <f>(IF(Resumen!$B$20="Sí",IF(Resumen!$C$20&lt;=A11,IF(DATEDIF(Resumen!$C$20,A11,"Y")&lt;8,VLOOKUP(YEAR(A11),Resumen!$O$7:$P$12,2,0),0),0),0))+(IF(Resumen!$B$21="Sí",IF(Resumen!$C$21&lt;=A11,IF(DATEDIF(Resumen!$C$21,A11,"Y")&lt;8,VLOOKUP(YEAR(A11),Resumen!$O$7:$P$12,2,0),0),0),0))</f>
        <v>0</v>
      </c>
      <c r="AB11" s="1">
        <f>IF(MONTH(A11)=12,VLOOKUP(YEAR(A11),Resumen!$O$7:$P$12,2,0),0)</f>
        <v>0</v>
      </c>
      <c r="AC11" s="1">
        <f t="shared" si="0"/>
        <v>0</v>
      </c>
      <c r="AD11" s="19">
        <f>(IF(Resumen!$B$25="Sí",IF(DATE(YEAR(Resumen!$C$25),MONTH(Resumen!$C$25),1)=A11,1000,0)+(IF(Resumen!$B$26="Sí",IF(DATE(YEAR(Resumen!$C$26),MONTH(Resumen!$C$26),1)=A11,1000,0),0)),0))</f>
        <v>0</v>
      </c>
      <c r="AE11" s="1">
        <v>0</v>
      </c>
      <c r="AF11" s="1">
        <v>0</v>
      </c>
      <c r="AG11" s="19">
        <v>130</v>
      </c>
      <c r="AH11" s="1">
        <v>0</v>
      </c>
      <c r="AI11" s="19">
        <f>IF(MONTH(A11)=12,IF(Resumen!$B$9="Sí",(15+DATEDIF("1/5/2008",A11,"y")-5)*50,(15+DATEDIF(Resumen!$B$6,A11,"y")-5)*50),0)</f>
        <v>0</v>
      </c>
      <c r="AJ11" s="5">
        <f>IF(Resumen!$B$13="No",IF(Resumen!$B$12="No",20,100),0)</f>
        <v>20</v>
      </c>
      <c r="AK11" s="1">
        <f>IF(Resumen!$B$14="Código",(R11+S11+T11+X11)*9.45%*-1,(R11+S11+T11+X11)*11.45%*-1)</f>
        <v>-237.03102999999996</v>
      </c>
      <c r="AM11" s="3">
        <f t="shared" si="1"/>
        <v>100</v>
      </c>
      <c r="AN11" s="4">
        <f t="shared" si="2"/>
        <v>8.75</v>
      </c>
      <c r="AO11" s="4">
        <f t="shared" si="3"/>
        <v>13.27000000000001</v>
      </c>
      <c r="AP11" s="4">
        <f t="shared" si="4"/>
        <v>7.8999999999999915</v>
      </c>
      <c r="AQ11" s="4">
        <f t="shared" si="5"/>
        <v>7.8900000000000006</v>
      </c>
      <c r="AR11" s="4">
        <f t="shared" si="6"/>
        <v>442.01</v>
      </c>
      <c r="AS11" s="4">
        <f t="shared" si="7"/>
        <v>23.16</v>
      </c>
      <c r="AT11" s="4">
        <f t="shared" si="8"/>
        <v>50</v>
      </c>
      <c r="AU11" s="6">
        <f t="shared" si="9"/>
        <v>0</v>
      </c>
      <c r="AV11" s="6">
        <f t="shared" si="10"/>
        <v>0</v>
      </c>
      <c r="AW11" s="6">
        <f t="shared" si="11"/>
        <v>0</v>
      </c>
      <c r="AX11" s="6">
        <f t="shared" si="12"/>
        <v>20</v>
      </c>
      <c r="AY11" s="6">
        <f t="shared" si="13"/>
        <v>0</v>
      </c>
      <c r="AZ11" s="6">
        <f t="shared" si="14"/>
        <v>0</v>
      </c>
      <c r="BA11" s="6">
        <f t="shared" si="15"/>
        <v>0</v>
      </c>
      <c r="BB11" s="6">
        <f t="shared" si="16"/>
        <v>-64.581434999999971</v>
      </c>
      <c r="BD11" s="3">
        <f t="shared" si="17"/>
        <v>608.39856499999996</v>
      </c>
      <c r="BE11" s="3">
        <v>0</v>
      </c>
    </row>
    <row r="12" spans="1:57" x14ac:dyDescent="0.25">
      <c r="A12" s="7">
        <v>43374</v>
      </c>
      <c r="B12" s="9">
        <f>IF(Resumen!$B$14="Código",IF(A12&lt;DATE(2021,7,1),Resumen!$B$7,Resumen!$B$7+300),IF(A12&lt;DATE(2022,3,1),Resumen!$B$7,Resumen!$B$7+300))</f>
        <v>1212</v>
      </c>
      <c r="C12" s="76">
        <f>Detalle!C12</f>
        <v>12</v>
      </c>
      <c r="D12" s="76">
        <f>Detalle!D12</f>
        <v>15.77</v>
      </c>
      <c r="E12" s="4">
        <f t="shared" si="18"/>
        <v>90.9</v>
      </c>
      <c r="F12" s="4">
        <f t="shared" si="19"/>
        <v>159.28</v>
      </c>
      <c r="G12" s="4">
        <f>IF(Resumen!$B$14="Código",IF(A12&lt;DATE(2021,7,1),(Resumen!$B$7*0.25%)*DATEDIF("1/1/2009",A12,"y"),IF(Resumen!$B$9="Sí",(((B12*0.03)+(VLOOKUP(YEAR(A12),Resumen!$O$7:$P$12,2,0)*0.05))*DATEDIF(MAX("1/5/2008",Resumen!$B$6),A12,"y")),(((B12*0.03)+(VLOOKUP(YEAR(A12),Resumen!$O$7:$P$12,2,0)*0.05))*DATEDIF(Resumen!$B$6,A12,"y")))),IF(A12&lt;DATE(2022,3,1),(Resumen!$B$7*0.25%)*DATEDIF("1/1/2009",A12,"y"),IF(Resumen!$B$9="Sí",(((B12*0.03)+(VLOOKUP(YEAR(A12),Resumen!$O$7:$P$12,2,0)*0.05))*DATEDIF(MAX("1/5/2008",Resumen!$B$6),A12,"y")),(((B12*0.03)+(VLOOKUP(YEAR(A12),Resumen!$O$7:$P$12,2,0)*0.05))*DATEDIF(Resumen!$B$6,A12,"y")))))</f>
        <v>27.270000000000003</v>
      </c>
      <c r="H12" s="4">
        <f t="shared" si="20"/>
        <v>124.12</v>
      </c>
      <c r="I12" s="4">
        <f t="shared" si="21"/>
        <v>124.07</v>
      </c>
      <c r="J12" s="1">
        <f>IF(Resumen!$B$14="Código",IF(A12&lt;DATE(2021,7,1),0,(0.03*(VLOOKUP(YEAR(A12),Resumen!$O$7:$P$12,2,0))*Resumen!$B$8)),IF(A12&lt;DATE(2022,3,1),0,(0.03*(VLOOKUP(YEAR(A12),Resumen!$O$7:$P$12,2,0))*Resumen!$B$8)))</f>
        <v>0</v>
      </c>
      <c r="K12" s="1">
        <f>IF(Resumen!$B$14="Código",IF(A12&lt;DATE(2021,7,1),0,50),IF(A12&lt;DATE(2022,3,1),0,50))</f>
        <v>0</v>
      </c>
      <c r="L12" s="1">
        <v>0</v>
      </c>
      <c r="M12" s="1">
        <v>0</v>
      </c>
      <c r="N12" s="1">
        <v>0</v>
      </c>
      <c r="O12" s="1">
        <v>0</v>
      </c>
      <c r="P12" s="1">
        <f>IF(Resumen!$B$14="Código",(B12+E12+F12+G12)*9.45%*-1,(B12+E12+F12+G12)*11.45%*-1)</f>
        <v>-170.542025</v>
      </c>
      <c r="Q12" s="3"/>
      <c r="R12" s="9">
        <f t="shared" si="26"/>
        <v>1312</v>
      </c>
      <c r="S12" s="4">
        <f t="shared" si="22"/>
        <v>98.4</v>
      </c>
      <c r="T12" s="4">
        <f t="shared" si="23"/>
        <v>172.42</v>
      </c>
      <c r="U12" s="4">
        <f t="shared" si="24"/>
        <v>131.9</v>
      </c>
      <c r="V12" s="4">
        <f t="shared" si="25"/>
        <v>131.85</v>
      </c>
      <c r="W12" s="4">
        <f>(0.03*(VLOOKUP(YEAR(A12),Resumen!$O$7:$P$12,2,0))*Resumen!$B$8)</f>
        <v>23.16</v>
      </c>
      <c r="X12" s="4">
        <f>IF(Resumen!$B$9="Sí",(((R12*0.03)+(VLOOKUP(YEAR(A12),Resumen!$O$7:$P$12,2,0)*0.05))*DATEDIF(MAX("1/5/2008",Resumen!$B$6),A12,"y")),(((R12*0.03)+(VLOOKUP(YEAR(A12),Resumen!$O$7:$P$12,2,0)*0.05))*DATEDIF(Resumen!$B$6,A12,"y")))</f>
        <v>469.28</v>
      </c>
      <c r="Y12" s="3">
        <v>50</v>
      </c>
      <c r="Z12" s="1">
        <f>IF(Resumen!$B$9="Sí",IF(DATEDIF("1/5/2008",A12,"M")/12=5,R12/2,IF(DATEDIF("1/5/2008",A12,"M")/12=10,R12,IF(DATEDIF("1/5/2008",A12,"M")/12=15,R12*1.5,IF(DATEDIF("1/5/2008",A12,"M")/12=20,R12*2,0)))),IF(DATEDIF(Resumen!$B$6,A12,"M")/12=5,R12/2,IF(DATEDIF(Resumen!$B$6,A12,"M")/12=10,R12,IF(DATEDIF(Resumen!$B$6,A12,"M")/12=15,R12*1.5,IF(DATEDIF(Resumen!$B$6,A12,"M")/12=20,R12*2,IF(DATEDIF(Resumen!$B$6,A12,"M")/12=25,R12*2.5,IF(DATEDIF(Resumen!$B$6,A12,"M")/12=30,R12*3)))))))</f>
        <v>0</v>
      </c>
      <c r="AA12" s="19">
        <f>(IF(Resumen!$B$20="Sí",IF(Resumen!$C$20&lt;=A12,IF(DATEDIF(Resumen!$C$20,A12,"Y")&lt;8,VLOOKUP(YEAR(A12),Resumen!$O$7:$P$12,2,0),0),0),0))+(IF(Resumen!$B$21="Sí",IF(Resumen!$C$21&lt;=A12,IF(DATEDIF(Resumen!$C$21,A12,"Y")&lt;8,VLOOKUP(YEAR(A12),Resumen!$O$7:$P$12,2,0),0),0),0))</f>
        <v>0</v>
      </c>
      <c r="AB12" s="1">
        <f>IF(MONTH(A12)=12,VLOOKUP(YEAR(A12),Resumen!$O$7:$P$12,2,0),0)</f>
        <v>0</v>
      </c>
      <c r="AC12" s="1">
        <f t="shared" si="0"/>
        <v>0</v>
      </c>
      <c r="AD12" s="19">
        <f>(IF(Resumen!$B$25="Sí",IF(DATE(YEAR(Resumen!$C$25),MONTH(Resumen!$C$25),1)=A12,1000,0)+(IF(Resumen!$B$26="Sí",IF(DATE(YEAR(Resumen!$C$26),MONTH(Resumen!$C$26),1)=A12,1000,0),0)),0))</f>
        <v>0</v>
      </c>
      <c r="AE12" s="1">
        <v>0</v>
      </c>
      <c r="AF12" s="1">
        <v>0</v>
      </c>
      <c r="AG12" s="19">
        <v>130</v>
      </c>
      <c r="AH12" s="1">
        <v>0</v>
      </c>
      <c r="AI12" s="19">
        <f>IF(MONTH(A12)=12,IF(Resumen!$B$9="Sí",(15+DATEDIF("1/5/2008",A12,"y")-5)*50,(15+DATEDIF(Resumen!$B$6,A12,"y")-5)*50),0)</f>
        <v>0</v>
      </c>
      <c r="AJ12" s="5">
        <f>IF(Resumen!$B$13="No",IF(Resumen!$B$12="No",20,100),0)</f>
        <v>20</v>
      </c>
      <c r="AK12" s="1">
        <f>IF(Resumen!$B$14="Código",(R12+S12+T12+X12)*9.45%*-1,(R12+S12+T12+X12)*11.45%*-1)</f>
        <v>-234.96545000000003</v>
      </c>
      <c r="AM12" s="3">
        <f t="shared" si="1"/>
        <v>100</v>
      </c>
      <c r="AN12" s="4">
        <f t="shared" si="2"/>
        <v>7.5</v>
      </c>
      <c r="AO12" s="4">
        <f t="shared" si="3"/>
        <v>13.139999999999986</v>
      </c>
      <c r="AP12" s="4">
        <f t="shared" si="4"/>
        <v>7.7800000000000011</v>
      </c>
      <c r="AQ12" s="4">
        <f t="shared" si="5"/>
        <v>7.7800000000000011</v>
      </c>
      <c r="AR12" s="4">
        <f t="shared" si="6"/>
        <v>442.01</v>
      </c>
      <c r="AS12" s="4">
        <f t="shared" si="7"/>
        <v>23.16</v>
      </c>
      <c r="AT12" s="4">
        <f t="shared" si="8"/>
        <v>50</v>
      </c>
      <c r="AU12" s="6">
        <f t="shared" si="9"/>
        <v>0</v>
      </c>
      <c r="AV12" s="6">
        <f t="shared" si="10"/>
        <v>0</v>
      </c>
      <c r="AW12" s="6">
        <f t="shared" si="11"/>
        <v>0</v>
      </c>
      <c r="AX12" s="6">
        <f t="shared" si="12"/>
        <v>20</v>
      </c>
      <c r="AY12" s="6">
        <f t="shared" si="13"/>
        <v>0</v>
      </c>
      <c r="AZ12" s="6">
        <f t="shared" si="14"/>
        <v>0</v>
      </c>
      <c r="BA12" s="6">
        <f t="shared" si="15"/>
        <v>0</v>
      </c>
      <c r="BB12" s="6">
        <f t="shared" si="16"/>
        <v>-64.423425000000037</v>
      </c>
      <c r="BD12" s="3">
        <f t="shared" si="17"/>
        <v>606.94657499999994</v>
      </c>
      <c r="BE12" s="3">
        <v>0</v>
      </c>
    </row>
    <row r="13" spans="1:57" x14ac:dyDescent="0.25">
      <c r="A13" s="7">
        <v>43405</v>
      </c>
      <c r="B13" s="9">
        <f>IF(Resumen!$B$14="Código",IF(A13&lt;DATE(2021,7,1),Resumen!$B$7,Resumen!$B$7+300),IF(A13&lt;DATE(2022,3,1),Resumen!$B$7,Resumen!$B$7+300))</f>
        <v>1212</v>
      </c>
      <c r="C13" s="76">
        <f>Detalle!C13</f>
        <v>13</v>
      </c>
      <c r="D13" s="76">
        <f>Detalle!D13</f>
        <v>15.6</v>
      </c>
      <c r="E13" s="4">
        <f t="shared" si="18"/>
        <v>98.48</v>
      </c>
      <c r="F13" s="4">
        <f t="shared" si="19"/>
        <v>157.56</v>
      </c>
      <c r="G13" s="4">
        <f>IF(Resumen!$B$14="Código",IF(A13&lt;DATE(2021,7,1),(Resumen!$B$7*0.25%)*DATEDIF("1/1/2009",A13,"y"),IF(Resumen!$B$9="Sí",(((B13*0.03)+(VLOOKUP(YEAR(A13),Resumen!$O$7:$P$12,2,0)*0.05))*DATEDIF(MAX("1/5/2008",Resumen!$B$6),A13,"y")),(((B13*0.03)+(VLOOKUP(YEAR(A13),Resumen!$O$7:$P$12,2,0)*0.05))*DATEDIF(Resumen!$B$6,A13,"y")))),IF(A13&lt;DATE(2022,3,1),(Resumen!$B$7*0.25%)*DATEDIF("1/1/2009",A13,"y"),IF(Resumen!$B$9="Sí",(((B13*0.03)+(VLOOKUP(YEAR(A13),Resumen!$O$7:$P$12,2,0)*0.05))*DATEDIF(MAX("1/5/2008",Resumen!$B$6),A13,"y")),(((B13*0.03)+(VLOOKUP(YEAR(A13),Resumen!$O$7:$P$12,2,0)*0.05))*DATEDIF(Resumen!$B$6,A13,"y")))))</f>
        <v>27.270000000000003</v>
      </c>
      <c r="H13" s="4">
        <f t="shared" si="20"/>
        <v>124.61</v>
      </c>
      <c r="I13" s="4">
        <f t="shared" si="21"/>
        <v>124.56</v>
      </c>
      <c r="J13" s="1">
        <f>IF(Resumen!$B$14="Código",IF(A13&lt;DATE(2021,7,1),0,(0.03*(VLOOKUP(YEAR(A13),Resumen!$O$7:$P$12,2,0))*Resumen!$B$8)),IF(A13&lt;DATE(2022,3,1),0,(0.03*(VLOOKUP(YEAR(A13),Resumen!$O$7:$P$12,2,0))*Resumen!$B$8)))</f>
        <v>0</v>
      </c>
      <c r="K13" s="1">
        <f>IF(Resumen!$B$14="Código",IF(A13&lt;DATE(2021,7,1),0,50),IF(A13&lt;DATE(2022,3,1),0,50))</f>
        <v>0</v>
      </c>
      <c r="L13" s="1">
        <v>0</v>
      </c>
      <c r="M13" s="1">
        <v>0</v>
      </c>
      <c r="N13" s="1">
        <v>0</v>
      </c>
      <c r="O13" s="1">
        <v>0</v>
      </c>
      <c r="P13" s="1">
        <f>IF(Resumen!$B$14="Código",(B13+E13+F13+G13)*9.45%*-1,(B13+E13+F13+G13)*11.45%*-1)</f>
        <v>-171.21299499999998</v>
      </c>
      <c r="Q13" s="3"/>
      <c r="R13" s="9">
        <f t="shared" si="26"/>
        <v>1312</v>
      </c>
      <c r="S13" s="4">
        <f t="shared" si="22"/>
        <v>106.6</v>
      </c>
      <c r="T13" s="4">
        <f t="shared" si="23"/>
        <v>170.56</v>
      </c>
      <c r="U13" s="4">
        <f t="shared" si="24"/>
        <v>132.43</v>
      </c>
      <c r="V13" s="4">
        <f t="shared" si="25"/>
        <v>132.38</v>
      </c>
      <c r="W13" s="4">
        <f>(0.03*(VLOOKUP(YEAR(A13),Resumen!$O$7:$P$12,2,0))*Resumen!$B$8)</f>
        <v>23.16</v>
      </c>
      <c r="X13" s="4">
        <f>IF(Resumen!$B$9="Sí",(((R13*0.03)+(VLOOKUP(YEAR(A13),Resumen!$O$7:$P$12,2,0)*0.05))*DATEDIF(MAX("1/5/2008",Resumen!$B$6),A13,"y")),(((R13*0.03)+(VLOOKUP(YEAR(A13),Resumen!$O$7:$P$12,2,0)*0.05))*DATEDIF(Resumen!$B$6,A13,"y")))</f>
        <v>469.28</v>
      </c>
      <c r="Y13" s="3">
        <v>50</v>
      </c>
      <c r="Z13" s="1">
        <f>IF(Resumen!$B$9="Sí",IF(DATEDIF("1/5/2008",A13,"M")/12=5,R13/2,IF(DATEDIF("1/5/2008",A13,"M")/12=10,R13,IF(DATEDIF("1/5/2008",A13,"M")/12=15,R13*1.5,IF(DATEDIF("1/5/2008",A13,"M")/12=20,R13*2,0)))),IF(DATEDIF(Resumen!$B$6,A13,"M")/12=5,R13/2,IF(DATEDIF(Resumen!$B$6,A13,"M")/12=10,R13,IF(DATEDIF(Resumen!$B$6,A13,"M")/12=15,R13*1.5,IF(DATEDIF(Resumen!$B$6,A13,"M")/12=20,R13*2,IF(DATEDIF(Resumen!$B$6,A13,"M")/12=25,R13*2.5,IF(DATEDIF(Resumen!$B$6,A13,"M")/12=30,R13*3)))))))</f>
        <v>0</v>
      </c>
      <c r="AA13" s="19">
        <f>(IF(Resumen!$B$20="Sí",IF(Resumen!$C$20&lt;=A13,IF(DATEDIF(Resumen!$C$20,A13,"Y")&lt;8,VLOOKUP(YEAR(A13),Resumen!$O$7:$P$12,2,0),0),0),0))+(IF(Resumen!$B$21="Sí",IF(Resumen!$C$21&lt;=A13,IF(DATEDIF(Resumen!$C$21,A13,"Y")&lt;8,VLOOKUP(YEAR(A13),Resumen!$O$7:$P$12,2,0),0),0),0))</f>
        <v>0</v>
      </c>
      <c r="AB13" s="1">
        <f>IF(MONTH(A13)=12,VLOOKUP(YEAR(A13),Resumen!$O$7:$P$12,2,0),0)</f>
        <v>0</v>
      </c>
      <c r="AC13" s="1">
        <f t="shared" si="0"/>
        <v>0</v>
      </c>
      <c r="AD13" s="19">
        <f>(IF(Resumen!$B$25="Sí",IF(DATE(YEAR(Resumen!$C$25),MONTH(Resumen!$C$25),1)=A13,1000,0)+(IF(Resumen!$B$26="Sí",IF(DATE(YEAR(Resumen!$C$26),MONTH(Resumen!$C$26),1)=A13,1000,0),0)),0))</f>
        <v>0</v>
      </c>
      <c r="AE13" s="1">
        <v>0</v>
      </c>
      <c r="AF13" s="1">
        <v>0</v>
      </c>
      <c r="AG13" s="19">
        <v>130</v>
      </c>
      <c r="AH13" s="1">
        <v>0</v>
      </c>
      <c r="AI13" s="19">
        <f>IF(MONTH(A13)=12,IF(Resumen!$B$9="Sí",(15+DATEDIF("1/5/2008",A13,"y")-5)*50,(15+DATEDIF(Resumen!$B$6,A13,"y")-5)*50),0)</f>
        <v>0</v>
      </c>
      <c r="AJ13" s="5">
        <f>IF(Resumen!$B$13="No",IF(Resumen!$B$12="No",20,100),0)</f>
        <v>20</v>
      </c>
      <c r="AK13" s="1">
        <f>IF(Resumen!$B$14="Código",(R13+S13+T13+X13)*9.45%*-1,(R13+S13+T13+X13)*11.45%*-1)</f>
        <v>-235.69137999999992</v>
      </c>
      <c r="AM13" s="3">
        <f t="shared" si="1"/>
        <v>100</v>
      </c>
      <c r="AN13" s="4">
        <f t="shared" si="2"/>
        <v>8.1199999999999903</v>
      </c>
      <c r="AO13" s="4">
        <f t="shared" si="3"/>
        <v>13</v>
      </c>
      <c r="AP13" s="4">
        <f t="shared" si="4"/>
        <v>7.8200000000000074</v>
      </c>
      <c r="AQ13" s="4">
        <f t="shared" si="5"/>
        <v>7.8199999999999932</v>
      </c>
      <c r="AR13" s="4">
        <f t="shared" si="6"/>
        <v>442.01</v>
      </c>
      <c r="AS13" s="4">
        <f t="shared" si="7"/>
        <v>23.16</v>
      </c>
      <c r="AT13" s="4">
        <f t="shared" si="8"/>
        <v>50</v>
      </c>
      <c r="AU13" s="6">
        <f t="shared" si="9"/>
        <v>0</v>
      </c>
      <c r="AV13" s="6">
        <f t="shared" si="10"/>
        <v>0</v>
      </c>
      <c r="AW13" s="6">
        <f t="shared" si="11"/>
        <v>0</v>
      </c>
      <c r="AX13" s="6">
        <f t="shared" si="12"/>
        <v>20</v>
      </c>
      <c r="AY13" s="6">
        <f t="shared" si="13"/>
        <v>0</v>
      </c>
      <c r="AZ13" s="6">
        <f t="shared" si="14"/>
        <v>0</v>
      </c>
      <c r="BA13" s="6">
        <f t="shared" si="15"/>
        <v>0</v>
      </c>
      <c r="BB13" s="6">
        <f t="shared" si="16"/>
        <v>-64.478384999999946</v>
      </c>
      <c r="BD13" s="3">
        <f t="shared" si="17"/>
        <v>607.45161499999995</v>
      </c>
      <c r="BE13" s="3">
        <v>0</v>
      </c>
    </row>
    <row r="14" spans="1:57" x14ac:dyDescent="0.25">
      <c r="A14" s="7">
        <v>43435</v>
      </c>
      <c r="B14" s="9">
        <f>IF(Resumen!$B$14="Código",IF(A14&lt;DATE(2021,7,1),Resumen!$B$7,Resumen!$B$7+300),IF(A14&lt;DATE(2022,3,1),Resumen!$B$7,Resumen!$B$7+300))</f>
        <v>1212</v>
      </c>
      <c r="C14" s="76">
        <f>Detalle!C14</f>
        <v>9</v>
      </c>
      <c r="D14" s="76">
        <f>Detalle!D14</f>
        <v>7.78</v>
      </c>
      <c r="E14" s="4">
        <f t="shared" si="18"/>
        <v>68.180000000000007</v>
      </c>
      <c r="F14" s="4">
        <f t="shared" si="19"/>
        <v>78.58</v>
      </c>
      <c r="G14" s="4">
        <f>IF(Resumen!$B$14="Código",IF(A14&lt;DATE(2021,7,1),(Resumen!$B$7*0.25%)*DATEDIF("1/1/2009",A14,"y"),IF(Resumen!$B$9="Sí",(((B14*0.03)+(VLOOKUP(YEAR(A14),Resumen!$O$7:$P$12,2,0)*0.05))*DATEDIF(MAX("1/5/2008",Resumen!$B$6),A14,"y")),(((B14*0.03)+(VLOOKUP(YEAR(A14),Resumen!$O$7:$P$12,2,0)*0.05))*DATEDIF(Resumen!$B$6,A14,"y")))),IF(A14&lt;DATE(2022,3,1),(Resumen!$B$7*0.25%)*DATEDIF("1/1/2009",A14,"y"),IF(Resumen!$B$9="Sí",(((B14*0.03)+(VLOOKUP(YEAR(A14),Resumen!$O$7:$P$12,2,0)*0.05))*DATEDIF(MAX("1/5/2008",Resumen!$B$6),A14,"y")),(((B14*0.03)+(VLOOKUP(YEAR(A14),Resumen!$O$7:$P$12,2,0)*0.05))*DATEDIF(Resumen!$B$6,A14,"y")))))</f>
        <v>27.270000000000003</v>
      </c>
      <c r="H14" s="4">
        <f t="shared" si="20"/>
        <v>115.5</v>
      </c>
      <c r="I14" s="4">
        <f t="shared" si="21"/>
        <v>115.46</v>
      </c>
      <c r="J14" s="1">
        <f>IF(Resumen!$B$14="Código",IF(A14&lt;DATE(2021,7,1),0,(0.03*(VLOOKUP(YEAR(A14),Resumen!$O$7:$P$12,2,0))*Resumen!$B$8)),IF(A14&lt;DATE(2022,3,1),0,(0.03*(VLOOKUP(YEAR(A14),Resumen!$O$7:$P$12,2,0))*Resumen!$B$8)))</f>
        <v>0</v>
      </c>
      <c r="K14" s="1">
        <f>IF(Resumen!$B$14="Código",IF(A14&lt;DATE(2021,7,1),0,50),IF(A14&lt;DATE(2022,3,1),0,50))</f>
        <v>0</v>
      </c>
      <c r="L14" s="1">
        <v>0</v>
      </c>
      <c r="M14" s="1">
        <v>0</v>
      </c>
      <c r="N14" s="1">
        <v>0</v>
      </c>
      <c r="O14" s="1">
        <v>0</v>
      </c>
      <c r="P14" s="1">
        <f>IF(Resumen!$B$14="Código",(B14+E14+F14+G14)*9.45%*-1,(B14+E14+F14+G14)*11.45%*-1)</f>
        <v>-158.70043499999997</v>
      </c>
      <c r="Q14" s="3"/>
      <c r="R14" s="9">
        <f t="shared" si="26"/>
        <v>1312</v>
      </c>
      <c r="S14" s="4">
        <f t="shared" si="22"/>
        <v>73.8</v>
      </c>
      <c r="T14" s="4">
        <f t="shared" si="23"/>
        <v>85.06</v>
      </c>
      <c r="U14" s="4">
        <f t="shared" si="24"/>
        <v>122.57</v>
      </c>
      <c r="V14" s="4">
        <f t="shared" si="25"/>
        <v>122.52</v>
      </c>
      <c r="W14" s="4">
        <f>(0.03*(VLOOKUP(YEAR(A14),Resumen!$O$7:$P$12,2,0))*Resumen!$B$8)</f>
        <v>23.16</v>
      </c>
      <c r="X14" s="4">
        <f>IF(Resumen!$B$9="Sí",(((R14*0.03)+(VLOOKUP(YEAR(A14),Resumen!$O$7:$P$12,2,0)*0.05))*DATEDIF(MAX("1/5/2008",Resumen!$B$6),A14,"y")),(((R14*0.03)+(VLOOKUP(YEAR(A14),Resumen!$O$7:$P$12,2,0)*0.05))*DATEDIF(Resumen!$B$6,A14,"y")))</f>
        <v>469.28</v>
      </c>
      <c r="Y14" s="3">
        <v>50</v>
      </c>
      <c r="Z14" s="1">
        <f>IF(Resumen!$B$9="Sí",IF(DATEDIF("1/5/2008",A14,"M")/12=5,R14/2,IF(DATEDIF("1/5/2008",A14,"M")/12=10,R14,IF(DATEDIF("1/5/2008",A14,"M")/12=15,R14*1.5,IF(DATEDIF("1/5/2008",A14,"M")/12=20,R14*2,0)))),IF(DATEDIF(Resumen!$B$6,A14,"M")/12=5,R14/2,IF(DATEDIF(Resumen!$B$6,A14,"M")/12=10,R14,IF(DATEDIF(Resumen!$B$6,A14,"M")/12=15,R14*1.5,IF(DATEDIF(Resumen!$B$6,A14,"M")/12=20,R14*2,IF(DATEDIF(Resumen!$B$6,A14,"M")/12=25,R14*2.5,IF(DATEDIF(Resumen!$B$6,A14,"M")/12=30,R14*3)))))))</f>
        <v>0</v>
      </c>
      <c r="AA14" s="19">
        <f>(IF(Resumen!$B$20="Sí",IF(Resumen!$C$20&lt;=A14,IF(DATEDIF(Resumen!$C$20,A14,"Y")&lt;8,VLOOKUP(YEAR(A14),Resumen!$O$7:$P$12,2,0),0),0),0))+(IF(Resumen!$B$21="Sí",IF(Resumen!$C$21&lt;=A14,IF(DATEDIF(Resumen!$C$21,A14,"Y")&lt;8,VLOOKUP(YEAR(A14),Resumen!$O$7:$P$12,2,0),0),0),0))</f>
        <v>0</v>
      </c>
      <c r="AB14" s="1">
        <f>IF(MONTH(A14)=12,VLOOKUP(YEAR(A14),Resumen!$O$7:$P$12,2,0),0)</f>
        <v>386</v>
      </c>
      <c r="AC14" s="1">
        <f t="shared" si="0"/>
        <v>100</v>
      </c>
      <c r="AD14" s="19">
        <f>(IF(Resumen!$B$25="Sí",IF(DATE(YEAR(Resumen!$C$25),MONTH(Resumen!$C$25),1)=A14,1000,0)+(IF(Resumen!$B$26="Sí",IF(DATE(YEAR(Resumen!$C$26),MONTH(Resumen!$C$26),1)=A14,1000,0),0)),0))</f>
        <v>0</v>
      </c>
      <c r="AE14" s="1">
        <v>0</v>
      </c>
      <c r="AF14" s="1">
        <v>0</v>
      </c>
      <c r="AG14" s="19">
        <v>130</v>
      </c>
      <c r="AH14" s="1">
        <v>0</v>
      </c>
      <c r="AI14" s="19">
        <f>IF(MONTH(A14)=12,IF(Resumen!$B$9="Sí",(15+DATEDIF("1/5/2008",A14,"y")-5)*50,(15+DATEDIF(Resumen!$B$6,A14,"y")-5)*50),0)</f>
        <v>1000</v>
      </c>
      <c r="AJ14" s="5">
        <f>IF(Resumen!$B$13="No",IF(Resumen!$B$12="No",20,100),0)</f>
        <v>20</v>
      </c>
      <c r="AK14" s="1">
        <f>IF(Resumen!$B$14="Código",(R14+S14+T14+X14)*9.45%*-1,(R14+S14+T14+X14)*11.45%*-1)</f>
        <v>-222.14602999999997</v>
      </c>
      <c r="AM14" s="3">
        <f t="shared" si="1"/>
        <v>100</v>
      </c>
      <c r="AN14" s="4">
        <f t="shared" si="2"/>
        <v>5.6199999999999903</v>
      </c>
      <c r="AO14" s="4">
        <f t="shared" si="3"/>
        <v>6.480000000000004</v>
      </c>
      <c r="AP14" s="4">
        <f t="shared" si="4"/>
        <v>7.0699999999999932</v>
      </c>
      <c r="AQ14" s="4">
        <f t="shared" si="5"/>
        <v>7.0600000000000023</v>
      </c>
      <c r="AR14" s="4">
        <f t="shared" si="6"/>
        <v>442.01</v>
      </c>
      <c r="AS14" s="4">
        <f t="shared" si="7"/>
        <v>23.16</v>
      </c>
      <c r="AT14" s="4">
        <f t="shared" si="8"/>
        <v>50</v>
      </c>
      <c r="AU14" s="6">
        <f t="shared" si="9"/>
        <v>386</v>
      </c>
      <c r="AV14" s="6">
        <f t="shared" si="10"/>
        <v>100</v>
      </c>
      <c r="AW14" s="6">
        <f t="shared" si="11"/>
        <v>0</v>
      </c>
      <c r="AX14" s="6">
        <f t="shared" si="12"/>
        <v>20</v>
      </c>
      <c r="AY14" s="6">
        <f t="shared" si="13"/>
        <v>0</v>
      </c>
      <c r="AZ14" s="6">
        <f t="shared" si="14"/>
        <v>0</v>
      </c>
      <c r="BA14" s="6">
        <f t="shared" si="15"/>
        <v>1000</v>
      </c>
      <c r="BB14" s="6">
        <f t="shared" si="16"/>
        <v>-63.445594999999997</v>
      </c>
      <c r="BD14" s="3">
        <f t="shared" si="17"/>
        <v>2083.954405</v>
      </c>
      <c r="BE14" s="3">
        <v>0</v>
      </c>
    </row>
    <row r="15" spans="1:57" x14ac:dyDescent="0.25">
      <c r="A15" s="7">
        <v>43466</v>
      </c>
      <c r="B15" s="9">
        <f>IF(Resumen!$B$14="Código",IF(A15&lt;DATE(2021,7,1),Resumen!$B$7,Resumen!$B$7+300),IF(A15&lt;DATE(2022,3,1),Resumen!$B$7,Resumen!$B$7+300))</f>
        <v>1212</v>
      </c>
      <c r="C15" s="76">
        <f>Detalle!C15</f>
        <v>0</v>
      </c>
      <c r="D15" s="76">
        <f>Detalle!D15</f>
        <v>0</v>
      </c>
      <c r="E15" s="4">
        <f t="shared" si="18"/>
        <v>0</v>
      </c>
      <c r="F15" s="4">
        <f t="shared" si="19"/>
        <v>0</v>
      </c>
      <c r="G15" s="4">
        <f>IF(Resumen!$B$14="Código",IF(A15&lt;DATE(2021,7,1),(Resumen!$B$7*0.25%)*DATEDIF("1/1/2009",A15,"y"),IF(Resumen!$B$9="Sí",(((B15*0.03)+(VLOOKUP(YEAR(A15),Resumen!$O$7:$P$12,2,0)*0.05))*DATEDIF(MAX("1/5/2008",Resumen!$B$6),A15,"y")),(((B15*0.03)+(VLOOKUP(YEAR(A15),Resumen!$O$7:$P$12,2,0)*0.05))*DATEDIF(Resumen!$B$6,A15,"y")))),IF(A15&lt;DATE(2022,3,1),(Resumen!$B$7*0.25%)*DATEDIF("1/1/2009",A15,"y"),IF(Resumen!$B$9="Sí",(((B15*0.03)+(VLOOKUP(YEAR(A15),Resumen!$O$7:$P$12,2,0)*0.05))*DATEDIF(MAX("1/5/2008",Resumen!$B$6),A15,"y")),(((B15*0.03)+(VLOOKUP(YEAR(A15),Resumen!$O$7:$P$12,2,0)*0.05))*DATEDIF(Resumen!$B$6,A15,"y")))))</f>
        <v>30.300000000000004</v>
      </c>
      <c r="H15" s="4">
        <f t="shared" si="20"/>
        <v>103.53</v>
      </c>
      <c r="I15" s="4">
        <f t="shared" si="21"/>
        <v>103.48</v>
      </c>
      <c r="J15" s="1">
        <f>IF(Resumen!$B$14="Código",IF(A15&lt;DATE(2021,7,1),0,(0.03*(VLOOKUP(YEAR(A15),Resumen!$O$7:$P$12,2,0))*Resumen!$B$8)),IF(A15&lt;DATE(2022,3,1),0,(0.03*(VLOOKUP(YEAR(A15),Resumen!$O$7:$P$12,2,0))*Resumen!$B$8)))</f>
        <v>0</v>
      </c>
      <c r="K15" s="1">
        <f>IF(Resumen!$B$14="Código",IF(A15&lt;DATE(2021,7,1),0,50),IF(A15&lt;DATE(2022,3,1),0,50))</f>
        <v>0</v>
      </c>
      <c r="L15" s="1">
        <v>0</v>
      </c>
      <c r="M15" s="1">
        <v>0</v>
      </c>
      <c r="N15" s="1">
        <v>0</v>
      </c>
      <c r="O15" s="1">
        <v>0</v>
      </c>
      <c r="P15" s="1">
        <f>IF(Resumen!$B$14="Código",(B15+E15+F15+G15)*9.45%*-1,(B15+E15+F15+G15)*11.45%*-1)</f>
        <v>-142.24334999999999</v>
      </c>
      <c r="Q15" s="3"/>
      <c r="R15" s="9">
        <f>R14+100</f>
        <v>1412</v>
      </c>
      <c r="S15" s="4">
        <f t="shared" si="22"/>
        <v>0</v>
      </c>
      <c r="T15" s="4">
        <f t="shared" si="23"/>
        <v>0</v>
      </c>
      <c r="U15" s="4">
        <f t="shared" si="24"/>
        <v>117.67</v>
      </c>
      <c r="V15" s="4">
        <f t="shared" si="25"/>
        <v>117.62</v>
      </c>
      <c r="W15" s="4">
        <f>(0.03*(VLOOKUP(YEAR(A15),Resumen!$O$7:$P$12,2,0))*Resumen!$B$8)</f>
        <v>23.64</v>
      </c>
      <c r="X15" s="4">
        <f>IF(Resumen!$B$9="Sí",(((R15*0.03)+(VLOOKUP(YEAR(A15),Resumen!$O$7:$P$12,2,0)*0.05))*DATEDIF(MAX("1/5/2008",Resumen!$B$6),A15,"y")),(((R15*0.03)+(VLOOKUP(YEAR(A15),Resumen!$O$7:$P$12,2,0)*0.05))*DATEDIF(Resumen!$B$6,A15,"y")))</f>
        <v>496.48</v>
      </c>
      <c r="Y15" s="3">
        <v>50</v>
      </c>
      <c r="Z15" s="1">
        <f>IF(Resumen!$B$9="Sí",IF(DATEDIF("1/5/2008",A15,"M")/12=5,R15/2,IF(DATEDIF("1/5/2008",A15,"M")/12=10,R15,IF(DATEDIF("1/5/2008",A15,"M")/12=15,R15*1.5,IF(DATEDIF("1/5/2008",A15,"M")/12=20,R15*2,0)))),IF(DATEDIF(Resumen!$B$6,A15,"M")/12=5,R15/2,IF(DATEDIF(Resumen!$B$6,A15,"M")/12=10,R15,IF(DATEDIF(Resumen!$B$6,A15,"M")/12=15,R15*1.5,IF(DATEDIF(Resumen!$B$6,A15,"M")/12=20,R15*2,IF(DATEDIF(Resumen!$B$6,A15,"M")/12=25,R15*2.5,IF(DATEDIF(Resumen!$B$6,A15,"M")/12=30,R15*3)))))))</f>
        <v>0</v>
      </c>
      <c r="AA15" s="19">
        <f>(IF(Resumen!$B$20="Sí",IF(Resumen!$C$20&lt;=A15,IF(DATEDIF(Resumen!$C$20,A15,"Y")&lt;8,VLOOKUP(YEAR(A15),Resumen!$O$7:$P$12,2,0),0),0),0))+(IF(Resumen!$B$21="Sí",IF(Resumen!$C$21&lt;=A15,IF(DATEDIF(Resumen!$C$21,A15,"Y")&lt;8,VLOOKUP(YEAR(A15),Resumen!$O$7:$P$12,2,0),0),0),0))</f>
        <v>0</v>
      </c>
      <c r="AB15" s="1">
        <f>IF(MONTH(A15)=12,VLOOKUP(YEAR(A15),Resumen!$O$7:$P$12,2,0),0)</f>
        <v>0</v>
      </c>
      <c r="AC15" s="1">
        <f t="shared" si="0"/>
        <v>0</v>
      </c>
      <c r="AD15" s="19">
        <f>(IF(Resumen!$B$25="Sí",IF(DATE(YEAR(Resumen!$C$25),MONTH(Resumen!$C$25),1)=A15,1000,0)+(IF(Resumen!$B$26="Sí",IF(DATE(YEAR(Resumen!$C$26),MONTH(Resumen!$C$26),1)=A15,1000,0),0)),0))</f>
        <v>0</v>
      </c>
      <c r="AE15" s="1">
        <v>0</v>
      </c>
      <c r="AF15" s="1">
        <v>0</v>
      </c>
      <c r="AG15" s="19">
        <v>130</v>
      </c>
      <c r="AH15" s="1">
        <v>0</v>
      </c>
      <c r="AI15" s="19">
        <f>IF(MONTH(A15)=12,IF(Resumen!$B$9="Sí",(15+DATEDIF("1/5/2008",A15,"y")-5)*50,(15+DATEDIF(Resumen!$B$6,A15,"y")-5)*50),0)</f>
        <v>0</v>
      </c>
      <c r="AJ15" s="5">
        <f>IF(Resumen!$B$13="No",IF(Resumen!$B$12="No",20,100),0)</f>
        <v>20</v>
      </c>
      <c r="AK15" s="1">
        <f>IF(Resumen!$B$14="Código",(R15+S15+T15+X15)*9.45%*-1,(R15+S15+T15+X15)*11.45%*-1)</f>
        <v>-218.52095999999997</v>
      </c>
      <c r="AM15" s="3">
        <f t="shared" si="1"/>
        <v>200</v>
      </c>
      <c r="AN15" s="4">
        <f t="shared" si="2"/>
        <v>0</v>
      </c>
      <c r="AO15" s="4">
        <f t="shared" si="3"/>
        <v>0</v>
      </c>
      <c r="AP15" s="4">
        <f t="shared" si="4"/>
        <v>14.14</v>
      </c>
      <c r="AQ15" s="4">
        <f t="shared" si="5"/>
        <v>14.14</v>
      </c>
      <c r="AR15" s="4">
        <f t="shared" si="6"/>
        <v>466.18</v>
      </c>
      <c r="AS15" s="4">
        <f t="shared" si="7"/>
        <v>23.64</v>
      </c>
      <c r="AT15" s="4">
        <f t="shared" si="8"/>
        <v>50</v>
      </c>
      <c r="AU15" s="6">
        <f t="shared" si="9"/>
        <v>0</v>
      </c>
      <c r="AV15" s="6">
        <f t="shared" si="10"/>
        <v>0</v>
      </c>
      <c r="AW15" s="6">
        <f t="shared" si="11"/>
        <v>0</v>
      </c>
      <c r="AX15" s="6">
        <f t="shared" si="12"/>
        <v>20</v>
      </c>
      <c r="AY15" s="6">
        <f t="shared" si="13"/>
        <v>0</v>
      </c>
      <c r="AZ15" s="6">
        <f t="shared" si="14"/>
        <v>0</v>
      </c>
      <c r="BA15" s="6">
        <f t="shared" si="15"/>
        <v>0</v>
      </c>
      <c r="BB15" s="6">
        <f t="shared" si="16"/>
        <v>-76.277609999999981</v>
      </c>
      <c r="BD15" s="3">
        <f t="shared" si="17"/>
        <v>711.82239000000004</v>
      </c>
      <c r="BE15" s="3">
        <v>0</v>
      </c>
    </row>
    <row r="16" spans="1:57" x14ac:dyDescent="0.25">
      <c r="A16" s="7">
        <v>43497</v>
      </c>
      <c r="B16" s="9">
        <f>IF(Resumen!$B$14="Código",IF(A16&lt;DATE(2021,7,1),Resumen!$B$7,Resumen!$B$7+300),IF(A16&lt;DATE(2022,3,1),Resumen!$B$7,Resumen!$B$7+300))</f>
        <v>1212</v>
      </c>
      <c r="C16" s="76">
        <f>Detalle!C16</f>
        <v>0</v>
      </c>
      <c r="D16" s="76">
        <f>Detalle!D16</f>
        <v>0</v>
      </c>
      <c r="E16" s="4">
        <f t="shared" si="18"/>
        <v>0</v>
      </c>
      <c r="F16" s="4">
        <f t="shared" si="19"/>
        <v>0</v>
      </c>
      <c r="G16" s="4">
        <f>IF(Resumen!$B$14="Código",IF(A16&lt;DATE(2021,7,1),(Resumen!$B$7*0.25%)*DATEDIF("1/1/2009",A16,"y"),IF(Resumen!$B$9="Sí",(((B16*0.03)+(VLOOKUP(YEAR(A16),Resumen!$O$7:$P$12,2,0)*0.05))*DATEDIF(MAX("1/5/2008",Resumen!$B$6),A16,"y")),(((B16*0.03)+(VLOOKUP(YEAR(A16),Resumen!$O$7:$P$12,2,0)*0.05))*DATEDIF(Resumen!$B$6,A16,"y")))),IF(A16&lt;DATE(2022,3,1),(Resumen!$B$7*0.25%)*DATEDIF("1/1/2009",A16,"y"),IF(Resumen!$B$9="Sí",(((B16*0.03)+(VLOOKUP(YEAR(A16),Resumen!$O$7:$P$12,2,0)*0.05))*DATEDIF(MAX("1/5/2008",Resumen!$B$6),A16,"y")),(((B16*0.03)+(VLOOKUP(YEAR(A16),Resumen!$O$7:$P$12,2,0)*0.05))*DATEDIF(Resumen!$B$6,A16,"y")))))</f>
        <v>30.300000000000004</v>
      </c>
      <c r="H16" s="4">
        <f t="shared" si="20"/>
        <v>103.53</v>
      </c>
      <c r="I16" s="4">
        <f t="shared" si="21"/>
        <v>103.48</v>
      </c>
      <c r="J16" s="1">
        <f>IF(Resumen!$B$14="Código",IF(A16&lt;DATE(2021,7,1),0,(0.03*(VLOOKUP(YEAR(A16),Resumen!$O$7:$P$12,2,0))*Resumen!$B$8)),IF(A16&lt;DATE(2022,3,1),0,(0.03*(VLOOKUP(YEAR(A16),Resumen!$O$7:$P$12,2,0))*Resumen!$B$8)))</f>
        <v>0</v>
      </c>
      <c r="K16" s="1">
        <f>IF(Resumen!$B$14="Código",IF(A16&lt;DATE(2021,7,1),0,50),IF(A16&lt;DATE(2022,3,1),0,50))</f>
        <v>0</v>
      </c>
      <c r="L16" s="1">
        <v>0</v>
      </c>
      <c r="M16" s="1">
        <v>0</v>
      </c>
      <c r="N16" s="1">
        <v>0</v>
      </c>
      <c r="O16" s="1">
        <v>0</v>
      </c>
      <c r="P16" s="1">
        <f>IF(Resumen!$B$14="Código",(B16+E16+F16+G16)*9.45%*-1,(B16+E16+F16+G16)*11.45%*-1)</f>
        <v>-142.24334999999999</v>
      </c>
      <c r="Q16" s="3"/>
      <c r="R16" s="9">
        <f>R15</f>
        <v>1412</v>
      </c>
      <c r="S16" s="4">
        <f t="shared" si="22"/>
        <v>0</v>
      </c>
      <c r="T16" s="4">
        <f t="shared" si="23"/>
        <v>0</v>
      </c>
      <c r="U16" s="4">
        <f t="shared" si="24"/>
        <v>117.67</v>
      </c>
      <c r="V16" s="4">
        <f t="shared" si="25"/>
        <v>117.62</v>
      </c>
      <c r="W16" s="4">
        <f>(0.03*(VLOOKUP(YEAR(A16),Resumen!$O$7:$P$12,2,0))*Resumen!$B$8)</f>
        <v>23.64</v>
      </c>
      <c r="X16" s="4">
        <f>IF(Resumen!$B$9="Sí",(((R16*0.03)+(VLOOKUP(YEAR(A16),Resumen!$O$7:$P$12,2,0)*0.05))*DATEDIF(MAX("1/5/2008",Resumen!$B$6),A16,"y")),(((R16*0.03)+(VLOOKUP(YEAR(A16),Resumen!$O$7:$P$12,2,0)*0.05))*DATEDIF(Resumen!$B$6,A16,"y")))</f>
        <v>558.54</v>
      </c>
      <c r="Y16" s="3">
        <v>50</v>
      </c>
      <c r="Z16" s="1">
        <f>IF(Resumen!$B$9="Sí",IF(DATEDIF("1/5/2008",A16,"M")/12=5,R16/2,IF(DATEDIF("1/5/2008",A16,"M")/12=10,R16,IF(DATEDIF("1/5/2008",A16,"M")/12=15,R16*1.5,IF(DATEDIF("1/5/2008",A16,"M")/12=20,R16*2,0)))),IF(DATEDIF(Resumen!$B$6,A16,"M")/12=5,R16/2,IF(DATEDIF(Resumen!$B$6,A16,"M")/12=10,R16,IF(DATEDIF(Resumen!$B$6,A16,"M")/12=15,R16*1.5,IF(DATEDIF(Resumen!$B$6,A16,"M")/12=20,R16*2,IF(DATEDIF(Resumen!$B$6,A16,"M")/12=25,R16*2.5,IF(DATEDIF(Resumen!$B$6,A16,"M")/12=30,R16*3)))))))</f>
        <v>0</v>
      </c>
      <c r="AA16" s="19">
        <f>(IF(Resumen!$B$20="Sí",IF(Resumen!$C$20&lt;=A16,IF(DATEDIF(Resumen!$C$20,A16,"Y")&lt;8,VLOOKUP(YEAR(A16),Resumen!$O$7:$P$12,2,0),0),0),0))+(IF(Resumen!$B$21="Sí",IF(Resumen!$C$21&lt;=A16,IF(DATEDIF(Resumen!$C$21,A16,"Y")&lt;8,VLOOKUP(YEAR(A16),Resumen!$O$7:$P$12,2,0),0),0),0))</f>
        <v>0</v>
      </c>
      <c r="AB16" s="1">
        <f>IF(MONTH(A16)=12,VLOOKUP(YEAR(A16),Resumen!$O$7:$P$12,2,0),0)</f>
        <v>0</v>
      </c>
      <c r="AC16" s="1">
        <f t="shared" si="0"/>
        <v>0</v>
      </c>
      <c r="AD16" s="19">
        <f>(IF(Resumen!$B$25="Sí",IF(DATE(YEAR(Resumen!$C$25),MONTH(Resumen!$C$25),1)=A16,1000,0)+(IF(Resumen!$B$26="Sí",IF(DATE(YEAR(Resumen!$C$26),MONTH(Resumen!$C$26),1)=A16,1000,0),0)),0))</f>
        <v>0</v>
      </c>
      <c r="AE16" s="1">
        <v>0</v>
      </c>
      <c r="AF16" s="1">
        <v>0</v>
      </c>
      <c r="AG16" s="19">
        <v>130</v>
      </c>
      <c r="AH16" s="1">
        <v>0</v>
      </c>
      <c r="AI16" s="19">
        <f>IF(MONTH(A16)=12,IF(Resumen!$B$9="Sí",(15+DATEDIF("1/5/2008",A16,"y")-5)*50,(15+DATEDIF(Resumen!$B$6,A16,"y")-5)*50),0)</f>
        <v>0</v>
      </c>
      <c r="AJ16" s="5">
        <f>IF(Resumen!$B$13="No",IF(Resumen!$B$12="No",20,100),0)</f>
        <v>20</v>
      </c>
      <c r="AK16" s="1">
        <f>IF(Resumen!$B$14="Código",(R16+S16+T16+X16)*9.45%*-1,(R16+S16+T16+X16)*11.45%*-1)</f>
        <v>-225.62682999999998</v>
      </c>
      <c r="AM16" s="3">
        <f t="shared" si="1"/>
        <v>200</v>
      </c>
      <c r="AN16" s="4">
        <f t="shared" si="2"/>
        <v>0</v>
      </c>
      <c r="AO16" s="4">
        <f t="shared" si="3"/>
        <v>0</v>
      </c>
      <c r="AP16" s="4">
        <f t="shared" si="4"/>
        <v>14.14</v>
      </c>
      <c r="AQ16" s="4">
        <f t="shared" si="5"/>
        <v>14.14</v>
      </c>
      <c r="AR16" s="4">
        <f t="shared" si="6"/>
        <v>528.24</v>
      </c>
      <c r="AS16" s="4">
        <f t="shared" si="7"/>
        <v>23.64</v>
      </c>
      <c r="AT16" s="4">
        <f t="shared" si="8"/>
        <v>50</v>
      </c>
      <c r="AU16" s="6">
        <f t="shared" si="9"/>
        <v>0</v>
      </c>
      <c r="AV16" s="6">
        <f t="shared" si="10"/>
        <v>0</v>
      </c>
      <c r="AW16" s="6">
        <f t="shared" si="11"/>
        <v>0</v>
      </c>
      <c r="AX16" s="6">
        <f t="shared" si="12"/>
        <v>20</v>
      </c>
      <c r="AY16" s="6">
        <f t="shared" si="13"/>
        <v>0</v>
      </c>
      <c r="AZ16" s="6">
        <f t="shared" si="14"/>
        <v>0</v>
      </c>
      <c r="BA16" s="6">
        <f t="shared" si="15"/>
        <v>0</v>
      </c>
      <c r="BB16" s="6">
        <f t="shared" si="16"/>
        <v>-83.383479999999992</v>
      </c>
      <c r="BD16" s="3">
        <f t="shared" si="17"/>
        <v>766.77652</v>
      </c>
      <c r="BE16" s="3">
        <v>0</v>
      </c>
    </row>
    <row r="17" spans="1:57" x14ac:dyDescent="0.25">
      <c r="A17" s="7">
        <v>43525</v>
      </c>
      <c r="B17" s="9">
        <f>IF(Resumen!$B$14="Código",IF(A17&lt;DATE(2021,7,1),Resumen!$B$7,Resumen!$B$7+300),IF(A17&lt;DATE(2022,3,1),Resumen!$B$7,Resumen!$B$7+300))</f>
        <v>1212</v>
      </c>
      <c r="C17" s="76">
        <f>Detalle!C17</f>
        <v>0</v>
      </c>
      <c r="D17" s="76">
        <f>Detalle!D17</f>
        <v>0</v>
      </c>
      <c r="E17" s="4">
        <f t="shared" si="18"/>
        <v>0</v>
      </c>
      <c r="F17" s="4">
        <f t="shared" si="19"/>
        <v>0</v>
      </c>
      <c r="G17" s="4">
        <f>IF(Resumen!$B$14="Código",IF(A17&lt;DATE(2021,7,1),(Resumen!$B$7*0.25%)*DATEDIF("1/1/2009",A17,"y"),IF(Resumen!$B$9="Sí",(((B17*0.03)+(VLOOKUP(YEAR(A17),Resumen!$O$7:$P$12,2,0)*0.05))*DATEDIF(MAX("1/5/2008",Resumen!$B$6),A17,"y")),(((B17*0.03)+(VLOOKUP(YEAR(A17),Resumen!$O$7:$P$12,2,0)*0.05))*DATEDIF(Resumen!$B$6,A17,"y")))),IF(A17&lt;DATE(2022,3,1),(Resumen!$B$7*0.25%)*DATEDIF("1/1/2009",A17,"y"),IF(Resumen!$B$9="Sí",(((B17*0.03)+(VLOOKUP(YEAR(A17),Resumen!$O$7:$P$12,2,0)*0.05))*DATEDIF(MAX("1/5/2008",Resumen!$B$6),A17,"y")),(((B17*0.03)+(VLOOKUP(YEAR(A17),Resumen!$O$7:$P$12,2,0)*0.05))*DATEDIF(Resumen!$B$6,A17,"y")))))</f>
        <v>30.300000000000004</v>
      </c>
      <c r="H17" s="4">
        <f t="shared" si="20"/>
        <v>103.53</v>
      </c>
      <c r="I17" s="4">
        <f t="shared" si="21"/>
        <v>103.48</v>
      </c>
      <c r="J17" s="1">
        <f>IF(Resumen!$B$14="Código",IF(A17&lt;DATE(2021,7,1),0,(0.03*(VLOOKUP(YEAR(A17),Resumen!$O$7:$P$12,2,0))*Resumen!$B$8)),IF(A17&lt;DATE(2022,3,1),0,(0.03*(VLOOKUP(YEAR(A17),Resumen!$O$7:$P$12,2,0))*Resumen!$B$8)))</f>
        <v>0</v>
      </c>
      <c r="K17" s="1">
        <f>IF(Resumen!$B$14="Código",IF(A17&lt;DATE(2021,7,1),0,50),IF(A17&lt;DATE(2022,3,1),0,50))</f>
        <v>0</v>
      </c>
      <c r="L17" s="1">
        <v>0</v>
      </c>
      <c r="M17" s="1">
        <v>0</v>
      </c>
      <c r="N17" s="1">
        <v>0</v>
      </c>
      <c r="O17" s="1">
        <v>0</v>
      </c>
      <c r="P17" s="1">
        <f>IF(Resumen!$B$14="Código",(B17+E17+F17+G17)*9.45%*-1,(B17+E17+F17+G17)*11.45%*-1)</f>
        <v>-142.24334999999999</v>
      </c>
      <c r="Q17" s="3"/>
      <c r="R17" s="9">
        <f t="shared" ref="R17:R65" si="27">R16</f>
        <v>1412</v>
      </c>
      <c r="S17" s="4">
        <f t="shared" si="22"/>
        <v>0</v>
      </c>
      <c r="T17" s="4">
        <f t="shared" si="23"/>
        <v>0</v>
      </c>
      <c r="U17" s="4">
        <f t="shared" si="24"/>
        <v>117.67</v>
      </c>
      <c r="V17" s="4">
        <f t="shared" si="25"/>
        <v>117.62</v>
      </c>
      <c r="W17" s="4">
        <f>(0.03*(VLOOKUP(YEAR(A17),Resumen!$O$7:$P$12,2,0))*Resumen!$B$8)</f>
        <v>23.64</v>
      </c>
      <c r="X17" s="4">
        <f>IF(Resumen!$B$9="Sí",(((R17*0.03)+(VLOOKUP(YEAR(A17),Resumen!$O$7:$P$12,2,0)*0.05))*DATEDIF(MAX("1/5/2008",Resumen!$B$6),A17,"y")),(((R17*0.03)+(VLOOKUP(YEAR(A17),Resumen!$O$7:$P$12,2,0)*0.05))*DATEDIF(Resumen!$B$6,A17,"y")))</f>
        <v>558.54</v>
      </c>
      <c r="Y17" s="3">
        <v>50</v>
      </c>
      <c r="Z17" s="1">
        <f>IF(Resumen!$B$9="Sí",IF(DATEDIF("1/5/2008",A17,"M")/12=5,R17/2,IF(DATEDIF("1/5/2008",A17,"M")/12=10,R17,IF(DATEDIF("1/5/2008",A17,"M")/12=15,R17*1.5,IF(DATEDIF("1/5/2008",A17,"M")/12=20,R17*2,0)))),IF(DATEDIF(Resumen!$B$6,A17,"M")/12=5,R17/2,IF(DATEDIF(Resumen!$B$6,A17,"M")/12=10,R17,IF(DATEDIF(Resumen!$B$6,A17,"M")/12=15,R17*1.5,IF(DATEDIF(Resumen!$B$6,A17,"M")/12=20,R17*2,IF(DATEDIF(Resumen!$B$6,A17,"M")/12=25,R17*2.5,IF(DATEDIF(Resumen!$B$6,A17,"M")/12=30,R17*3)))))))</f>
        <v>0</v>
      </c>
      <c r="AA17" s="19">
        <f>(IF(Resumen!$B$20="Sí",IF(Resumen!$C$20&lt;=A17,IF(DATEDIF(Resumen!$C$20,A17,"Y")&lt;8,VLOOKUP(YEAR(A17),Resumen!$O$7:$P$12,2,0),0),0),0))+(IF(Resumen!$B$21="Sí",IF(Resumen!$C$21&lt;=A17,IF(DATEDIF(Resumen!$C$21,A17,"Y")&lt;8,VLOOKUP(YEAR(A17),Resumen!$O$7:$P$12,2,0),0),0),0))</f>
        <v>0</v>
      </c>
      <c r="AB17" s="1">
        <f>IF(MONTH(A17)=12,VLOOKUP(YEAR(A17),Resumen!$O$7:$P$12,2,0),0)</f>
        <v>0</v>
      </c>
      <c r="AC17" s="1">
        <f t="shared" si="0"/>
        <v>0</v>
      </c>
      <c r="AD17" s="19">
        <f>(IF(Resumen!$B$25="Sí",IF(DATE(YEAR(Resumen!$C$25),MONTH(Resumen!$C$25),1)=A17,1000,0)+(IF(Resumen!$B$26="Sí",IF(DATE(YEAR(Resumen!$C$26),MONTH(Resumen!$C$26),1)=A17,1000,0),0)),0))</f>
        <v>0</v>
      </c>
      <c r="AE17" s="1">
        <v>0</v>
      </c>
      <c r="AF17" s="1">
        <v>0</v>
      </c>
      <c r="AG17" s="19">
        <v>130</v>
      </c>
      <c r="AH17" s="1">
        <v>0</v>
      </c>
      <c r="AI17" s="19">
        <f>IF(MONTH(A17)=12,IF(Resumen!$B$9="Sí",(15+DATEDIF("1/5/2008",A17,"y")-5)*50,(15+DATEDIF(Resumen!$B$6,A17,"y")-5)*50),0)</f>
        <v>0</v>
      </c>
      <c r="AJ17" s="5">
        <f>IF(Resumen!$B$13="No",IF(Resumen!$B$12="No",20,100),0)</f>
        <v>20</v>
      </c>
      <c r="AK17" s="1">
        <f>IF(Resumen!$B$14="Código",(R17+S17+T17+X17)*9.45%*-1,(R17+S17+T17+X17)*11.45%*-1)</f>
        <v>-225.62682999999998</v>
      </c>
      <c r="AM17" s="3">
        <f t="shared" si="1"/>
        <v>200</v>
      </c>
      <c r="AN17" s="4">
        <f t="shared" si="2"/>
        <v>0</v>
      </c>
      <c r="AO17" s="4">
        <f t="shared" si="3"/>
        <v>0</v>
      </c>
      <c r="AP17" s="4">
        <f t="shared" si="4"/>
        <v>14.14</v>
      </c>
      <c r="AQ17" s="4">
        <f t="shared" si="5"/>
        <v>14.14</v>
      </c>
      <c r="AR17" s="4">
        <f t="shared" si="6"/>
        <v>528.24</v>
      </c>
      <c r="AS17" s="4">
        <f t="shared" si="7"/>
        <v>23.64</v>
      </c>
      <c r="AT17" s="4">
        <f t="shared" si="8"/>
        <v>50</v>
      </c>
      <c r="AU17" s="6">
        <f t="shared" si="9"/>
        <v>0</v>
      </c>
      <c r="AV17" s="6">
        <f t="shared" si="10"/>
        <v>0</v>
      </c>
      <c r="AW17" s="6">
        <f t="shared" si="11"/>
        <v>0</v>
      </c>
      <c r="AX17" s="6">
        <f t="shared" si="12"/>
        <v>20</v>
      </c>
      <c r="AY17" s="6">
        <f t="shared" si="13"/>
        <v>0</v>
      </c>
      <c r="AZ17" s="6">
        <f t="shared" si="14"/>
        <v>0</v>
      </c>
      <c r="BA17" s="6">
        <f t="shared" si="15"/>
        <v>0</v>
      </c>
      <c r="BB17" s="6">
        <f t="shared" si="16"/>
        <v>-83.383479999999992</v>
      </c>
      <c r="BD17" s="3">
        <f t="shared" si="17"/>
        <v>766.77652</v>
      </c>
      <c r="BE17" s="3">
        <v>0</v>
      </c>
    </row>
    <row r="18" spans="1:57" x14ac:dyDescent="0.25">
      <c r="A18" s="7">
        <v>43556</v>
      </c>
      <c r="B18" s="9">
        <f>IF(Resumen!$B$14="Código",IF(A18&lt;DATE(2021,7,1),Resumen!$B$7,Resumen!$B$7+300),IF(A18&lt;DATE(2022,3,1),Resumen!$B$7,Resumen!$B$7+300))</f>
        <v>1212</v>
      </c>
      <c r="C18" s="76">
        <f>Detalle!C18</f>
        <v>0</v>
      </c>
      <c r="D18" s="76">
        <f>Detalle!D18</f>
        <v>0</v>
      </c>
      <c r="E18" s="4">
        <f t="shared" si="18"/>
        <v>0</v>
      </c>
      <c r="F18" s="4">
        <f t="shared" si="19"/>
        <v>0</v>
      </c>
      <c r="G18" s="4">
        <f>IF(Resumen!$B$14="Código",IF(A18&lt;DATE(2021,7,1),(Resumen!$B$7*0.25%)*DATEDIF("1/1/2009",A18,"y"),IF(Resumen!$B$9="Sí",(((B18*0.03)+(VLOOKUP(YEAR(A18),Resumen!$O$7:$P$12,2,0)*0.05))*DATEDIF(MAX("1/5/2008",Resumen!$B$6),A18,"y")),(((B18*0.03)+(VLOOKUP(YEAR(A18),Resumen!$O$7:$P$12,2,0)*0.05))*DATEDIF(Resumen!$B$6,A18,"y")))),IF(A18&lt;DATE(2022,3,1),(Resumen!$B$7*0.25%)*DATEDIF("1/1/2009",A18,"y"),IF(Resumen!$B$9="Sí",(((B18*0.03)+(VLOOKUP(YEAR(A18),Resumen!$O$7:$P$12,2,0)*0.05))*DATEDIF(MAX("1/5/2008",Resumen!$B$6),A18,"y")),(((B18*0.03)+(VLOOKUP(YEAR(A18),Resumen!$O$7:$P$12,2,0)*0.05))*DATEDIF(Resumen!$B$6,A18,"y")))))</f>
        <v>30.300000000000004</v>
      </c>
      <c r="H18" s="4">
        <f t="shared" si="20"/>
        <v>103.53</v>
      </c>
      <c r="I18" s="4">
        <f t="shared" si="21"/>
        <v>103.48</v>
      </c>
      <c r="J18" s="1">
        <f>IF(Resumen!$B$14="Código",IF(A18&lt;DATE(2021,7,1),0,(0.03*(VLOOKUP(YEAR(A18),Resumen!$O$7:$P$12,2,0))*Resumen!$B$8)),IF(A18&lt;DATE(2022,3,1),0,(0.03*(VLOOKUP(YEAR(A18),Resumen!$O$7:$P$12,2,0))*Resumen!$B$8)))</f>
        <v>0</v>
      </c>
      <c r="K18" s="1">
        <f>IF(Resumen!$B$14="Código",IF(A18&lt;DATE(2021,7,1),0,50),IF(A18&lt;DATE(2022,3,1),0,50))</f>
        <v>0</v>
      </c>
      <c r="L18" s="1">
        <v>0</v>
      </c>
      <c r="M18" s="1">
        <v>0</v>
      </c>
      <c r="N18" s="1">
        <v>0</v>
      </c>
      <c r="O18" s="1">
        <v>0</v>
      </c>
      <c r="P18" s="1">
        <f>IF(Resumen!$B$14="Código",(B18+E18+F18+G18)*9.45%*-1,(B18+E18+F18+G18)*11.45%*-1)</f>
        <v>-142.24334999999999</v>
      </c>
      <c r="Q18" s="3"/>
      <c r="R18" s="9">
        <f t="shared" si="27"/>
        <v>1412</v>
      </c>
      <c r="S18" s="4">
        <f t="shared" si="22"/>
        <v>0</v>
      </c>
      <c r="T18" s="4">
        <f t="shared" si="23"/>
        <v>0</v>
      </c>
      <c r="U18" s="4">
        <f t="shared" si="24"/>
        <v>117.67</v>
      </c>
      <c r="V18" s="4">
        <f t="shared" si="25"/>
        <v>117.62</v>
      </c>
      <c r="W18" s="4">
        <f>(0.03*(VLOOKUP(YEAR(A18),Resumen!$O$7:$P$12,2,0))*Resumen!$B$8)</f>
        <v>23.64</v>
      </c>
      <c r="X18" s="4">
        <f>IF(Resumen!$B$9="Sí",(((R18*0.03)+(VLOOKUP(YEAR(A18),Resumen!$O$7:$P$12,2,0)*0.05))*DATEDIF(MAX("1/5/2008",Resumen!$B$6),A18,"y")),(((R18*0.03)+(VLOOKUP(YEAR(A18),Resumen!$O$7:$P$12,2,0)*0.05))*DATEDIF(Resumen!$B$6,A18,"y")))</f>
        <v>558.54</v>
      </c>
      <c r="Y18" s="3">
        <v>50</v>
      </c>
      <c r="Z18" s="1">
        <f>IF(Resumen!$B$9="Sí",IF(DATEDIF("1/5/2008",A18,"M")/12=5,R18/2,IF(DATEDIF("1/5/2008",A18,"M")/12=10,R18,IF(DATEDIF("1/5/2008",A18,"M")/12=15,R18*1.5,IF(DATEDIF("1/5/2008",A18,"M")/12=20,R18*2,0)))),IF(DATEDIF(Resumen!$B$6,A18,"M")/12=5,R18/2,IF(DATEDIF(Resumen!$B$6,A18,"M")/12=10,R18,IF(DATEDIF(Resumen!$B$6,A18,"M")/12=15,R18*1.5,IF(DATEDIF(Resumen!$B$6,A18,"M")/12=20,R18*2,IF(DATEDIF(Resumen!$B$6,A18,"M")/12=25,R18*2.5,IF(DATEDIF(Resumen!$B$6,A18,"M")/12=30,R18*3)))))))</f>
        <v>0</v>
      </c>
      <c r="AA18" s="19">
        <f>(IF(Resumen!$B$20="Sí",IF(Resumen!$C$20&lt;=A18,IF(DATEDIF(Resumen!$C$20,A18,"Y")&lt;8,VLOOKUP(YEAR(A18),Resumen!$O$7:$P$12,2,0),0),0),0))+(IF(Resumen!$B$21="Sí",IF(Resumen!$C$21&lt;=A18,IF(DATEDIF(Resumen!$C$21,A18,"Y")&lt;8,VLOOKUP(YEAR(A18),Resumen!$O$7:$P$12,2,0),0),0),0))</f>
        <v>0</v>
      </c>
      <c r="AB18" s="1">
        <f>IF(MONTH(A18)=12,VLOOKUP(YEAR(A18),Resumen!$O$7:$P$12,2,0),0)</f>
        <v>0</v>
      </c>
      <c r="AC18" s="1">
        <f t="shared" si="0"/>
        <v>0</v>
      </c>
      <c r="AD18" s="19">
        <f>(IF(Resumen!$B$25="Sí",IF(DATE(YEAR(Resumen!$C$25),MONTH(Resumen!$C$25),1)=A18,1000,0)+(IF(Resumen!$B$26="Sí",IF(DATE(YEAR(Resumen!$C$26),MONTH(Resumen!$C$26),1)=A18,1000,0),0)),0))</f>
        <v>0</v>
      </c>
      <c r="AE18" s="1">
        <v>0</v>
      </c>
      <c r="AF18" s="1">
        <v>0</v>
      </c>
      <c r="AG18" s="19">
        <v>130</v>
      </c>
      <c r="AH18" s="1">
        <v>0</v>
      </c>
      <c r="AI18" s="19">
        <f>IF(MONTH(A18)=12,IF(Resumen!$B$9="Sí",(15+DATEDIF("1/5/2008",A18,"y")-5)*50,(15+DATEDIF(Resumen!$B$6,A18,"y")-5)*50),0)</f>
        <v>0</v>
      </c>
      <c r="AJ18" s="5">
        <f>IF(Resumen!$B$13="No",IF(Resumen!$B$12="No",20,100),0)</f>
        <v>20</v>
      </c>
      <c r="AK18" s="1">
        <f>IF(Resumen!$B$14="Código",(R18+S18+T18+X18)*9.45%*-1,(R18+S18+T18+X18)*11.45%*-1)</f>
        <v>-225.62682999999998</v>
      </c>
      <c r="AM18" s="3">
        <f t="shared" si="1"/>
        <v>200</v>
      </c>
      <c r="AN18" s="4">
        <f t="shared" si="2"/>
        <v>0</v>
      </c>
      <c r="AO18" s="4">
        <f t="shared" si="3"/>
        <v>0</v>
      </c>
      <c r="AP18" s="4">
        <f t="shared" si="4"/>
        <v>14.14</v>
      </c>
      <c r="AQ18" s="4">
        <f t="shared" si="5"/>
        <v>14.14</v>
      </c>
      <c r="AR18" s="4">
        <f t="shared" si="6"/>
        <v>528.24</v>
      </c>
      <c r="AS18" s="4">
        <f t="shared" si="7"/>
        <v>23.64</v>
      </c>
      <c r="AT18" s="4">
        <f t="shared" si="8"/>
        <v>50</v>
      </c>
      <c r="AU18" s="6">
        <f t="shared" si="9"/>
        <v>0</v>
      </c>
      <c r="AV18" s="6">
        <f t="shared" si="10"/>
        <v>0</v>
      </c>
      <c r="AW18" s="6">
        <f t="shared" si="11"/>
        <v>0</v>
      </c>
      <c r="AX18" s="6">
        <f t="shared" si="12"/>
        <v>20</v>
      </c>
      <c r="AY18" s="6">
        <f t="shared" si="13"/>
        <v>0</v>
      </c>
      <c r="AZ18" s="6">
        <f t="shared" si="14"/>
        <v>0</v>
      </c>
      <c r="BA18" s="6">
        <f t="shared" si="15"/>
        <v>0</v>
      </c>
      <c r="BB18" s="6">
        <f t="shared" si="16"/>
        <v>-83.383479999999992</v>
      </c>
      <c r="BD18" s="3">
        <f t="shared" si="17"/>
        <v>766.77652</v>
      </c>
      <c r="BE18" s="3">
        <v>0</v>
      </c>
    </row>
    <row r="19" spans="1:57" x14ac:dyDescent="0.25">
      <c r="A19" s="7">
        <v>43586</v>
      </c>
      <c r="B19" s="9">
        <f>IF(Resumen!$B$14="Código",IF(A19&lt;DATE(2021,7,1),Resumen!$B$7,Resumen!$B$7+300),IF(A19&lt;DATE(2022,3,1),Resumen!$B$7,Resumen!$B$7+300))</f>
        <v>1212</v>
      </c>
      <c r="C19" s="76">
        <f>Detalle!C19</f>
        <v>0</v>
      </c>
      <c r="D19" s="76">
        <f>Detalle!D19</f>
        <v>0</v>
      </c>
      <c r="E19" s="4">
        <f t="shared" si="18"/>
        <v>0</v>
      </c>
      <c r="F19" s="4">
        <f t="shared" si="19"/>
        <v>0</v>
      </c>
      <c r="G19" s="4">
        <f>IF(Resumen!$B$14="Código",IF(A19&lt;DATE(2021,7,1),(Resumen!$B$7*0.25%)*DATEDIF("1/1/2009",A19,"y"),IF(Resumen!$B$9="Sí",(((B19*0.03)+(VLOOKUP(YEAR(A19),Resumen!$O$7:$P$12,2,0)*0.05))*DATEDIF(MAX("1/5/2008",Resumen!$B$6),A19,"y")),(((B19*0.03)+(VLOOKUP(YEAR(A19),Resumen!$O$7:$P$12,2,0)*0.05))*DATEDIF(Resumen!$B$6,A19,"y")))),IF(A19&lt;DATE(2022,3,1),(Resumen!$B$7*0.25%)*DATEDIF("1/1/2009",A19,"y"),IF(Resumen!$B$9="Sí",(((B19*0.03)+(VLOOKUP(YEAR(A19),Resumen!$O$7:$P$12,2,0)*0.05))*DATEDIF(MAX("1/5/2008",Resumen!$B$6),A19,"y")),(((B19*0.03)+(VLOOKUP(YEAR(A19),Resumen!$O$7:$P$12,2,0)*0.05))*DATEDIF(Resumen!$B$6,A19,"y")))))</f>
        <v>30.300000000000004</v>
      </c>
      <c r="H19" s="4">
        <f t="shared" si="20"/>
        <v>103.53</v>
      </c>
      <c r="I19" s="4">
        <f t="shared" si="21"/>
        <v>103.48</v>
      </c>
      <c r="J19" s="1">
        <f>IF(Resumen!$B$14="Código",IF(A19&lt;DATE(2021,7,1),0,(0.03*(VLOOKUP(YEAR(A19),Resumen!$O$7:$P$12,2,0))*Resumen!$B$8)),IF(A19&lt;DATE(2022,3,1),0,(0.03*(VLOOKUP(YEAR(A19),Resumen!$O$7:$P$12,2,0))*Resumen!$B$8)))</f>
        <v>0</v>
      </c>
      <c r="K19" s="1">
        <f>IF(Resumen!$B$14="Código",IF(A19&lt;DATE(2021,7,1),0,50),IF(A19&lt;DATE(2022,3,1),0,50))</f>
        <v>0</v>
      </c>
      <c r="L19" s="1">
        <v>0</v>
      </c>
      <c r="M19" s="1">
        <v>0</v>
      </c>
      <c r="N19" s="1">
        <v>0</v>
      </c>
      <c r="O19" s="1">
        <v>0</v>
      </c>
      <c r="P19" s="1">
        <f>IF(Resumen!$B$14="Código",(B19+E19+F19+G19)*9.45%*-1,(B19+E19+F19+G19)*11.45%*-1)</f>
        <v>-142.24334999999999</v>
      </c>
      <c r="Q19" s="3"/>
      <c r="R19" s="9">
        <f t="shared" si="27"/>
        <v>1412</v>
      </c>
      <c r="S19" s="4">
        <f t="shared" si="22"/>
        <v>0</v>
      </c>
      <c r="T19" s="4">
        <f t="shared" si="23"/>
        <v>0</v>
      </c>
      <c r="U19" s="4">
        <f t="shared" si="24"/>
        <v>117.67</v>
      </c>
      <c r="V19" s="4">
        <f t="shared" si="25"/>
        <v>117.62</v>
      </c>
      <c r="W19" s="4">
        <f>(0.03*(VLOOKUP(YEAR(A19),Resumen!$O$7:$P$12,2,0))*Resumen!$B$8)</f>
        <v>23.64</v>
      </c>
      <c r="X19" s="4">
        <f>IF(Resumen!$B$9="Sí",(((R19*0.03)+(VLOOKUP(YEAR(A19),Resumen!$O$7:$P$12,2,0)*0.05))*DATEDIF(MAX("1/5/2008",Resumen!$B$6),A19,"y")),(((R19*0.03)+(VLOOKUP(YEAR(A19),Resumen!$O$7:$P$12,2,0)*0.05))*DATEDIF(Resumen!$B$6,A19,"y")))</f>
        <v>558.54</v>
      </c>
      <c r="Y19" s="3">
        <v>50</v>
      </c>
      <c r="Z19" s="1">
        <f>IF(Resumen!$B$9="Sí",IF(DATEDIF("1/5/2008",A19,"M")/12=5,R19/2,IF(DATEDIF("1/5/2008",A19,"M")/12=10,R19,IF(DATEDIF("1/5/2008",A19,"M")/12=15,R19*1.5,IF(DATEDIF("1/5/2008",A19,"M")/12=20,R19*2,0)))),IF(DATEDIF(Resumen!$B$6,A19,"M")/12=5,R19/2,IF(DATEDIF(Resumen!$B$6,A19,"M")/12=10,R19,IF(DATEDIF(Resumen!$B$6,A19,"M")/12=15,R19*1.5,IF(DATEDIF(Resumen!$B$6,A19,"M")/12=20,R19*2,IF(DATEDIF(Resumen!$B$6,A19,"M")/12=25,R19*2.5,IF(DATEDIF(Resumen!$B$6,A19,"M")/12=30,R19*3)))))))</f>
        <v>0</v>
      </c>
      <c r="AA19" s="19">
        <f>(IF(Resumen!$B$20="Sí",IF(Resumen!$C$20&lt;=A19,IF(DATEDIF(Resumen!$C$20,A19,"Y")&lt;8,VLOOKUP(YEAR(A19),Resumen!$O$7:$P$12,2,0),0),0),0))+(IF(Resumen!$B$21="Sí",IF(Resumen!$C$21&lt;=A19,IF(DATEDIF(Resumen!$C$21,A19,"Y")&lt;8,VLOOKUP(YEAR(A19),Resumen!$O$7:$P$12,2,0),0),0),0))</f>
        <v>0</v>
      </c>
      <c r="AB19" s="1">
        <f>IF(MONTH(A19)=12,VLOOKUP(YEAR(A19),Resumen!$O$7:$P$12,2,0),0)</f>
        <v>0</v>
      </c>
      <c r="AC19" s="1">
        <f t="shared" si="0"/>
        <v>0</v>
      </c>
      <c r="AD19" s="19">
        <f>(IF(Resumen!$B$25="Sí",IF(DATE(YEAR(Resumen!$C$25),MONTH(Resumen!$C$25),1)=A19,1000,0)+(IF(Resumen!$B$26="Sí",IF(DATE(YEAR(Resumen!$C$26),MONTH(Resumen!$C$26),1)=A19,1000,0),0)),0))</f>
        <v>0</v>
      </c>
      <c r="AE19" s="1">
        <v>0</v>
      </c>
      <c r="AF19" s="1">
        <v>0</v>
      </c>
      <c r="AG19" s="19">
        <v>130</v>
      </c>
      <c r="AH19" s="1">
        <v>0</v>
      </c>
      <c r="AI19" s="19">
        <f>IF(MONTH(A19)=12,IF(Resumen!$B$9="Sí",(15+DATEDIF("1/5/2008",A19,"y")-5)*50,(15+DATEDIF(Resumen!$B$6,A19,"y")-5)*50),0)</f>
        <v>0</v>
      </c>
      <c r="AJ19" s="5">
        <f>IF(Resumen!$B$13="No",IF(Resumen!$B$12="No",20,100),0)</f>
        <v>20</v>
      </c>
      <c r="AK19" s="1">
        <f>IF(Resumen!$B$14="Código",(R19+S19+T19+X19)*9.45%*-1,(R19+S19+T19+X19)*11.45%*-1)</f>
        <v>-225.62682999999998</v>
      </c>
      <c r="AM19" s="3">
        <f t="shared" si="1"/>
        <v>200</v>
      </c>
      <c r="AN19" s="4">
        <f t="shared" si="2"/>
        <v>0</v>
      </c>
      <c r="AO19" s="4">
        <f t="shared" si="3"/>
        <v>0</v>
      </c>
      <c r="AP19" s="4">
        <f t="shared" si="4"/>
        <v>14.14</v>
      </c>
      <c r="AQ19" s="4">
        <f t="shared" si="5"/>
        <v>14.14</v>
      </c>
      <c r="AR19" s="4">
        <f t="shared" si="6"/>
        <v>528.24</v>
      </c>
      <c r="AS19" s="4">
        <f t="shared" si="7"/>
        <v>23.64</v>
      </c>
      <c r="AT19" s="4">
        <f t="shared" si="8"/>
        <v>50</v>
      </c>
      <c r="AU19" s="6">
        <f t="shared" si="9"/>
        <v>0</v>
      </c>
      <c r="AV19" s="6">
        <f t="shared" si="10"/>
        <v>0</v>
      </c>
      <c r="AW19" s="6">
        <f t="shared" si="11"/>
        <v>0</v>
      </c>
      <c r="AX19" s="6">
        <f t="shared" si="12"/>
        <v>20</v>
      </c>
      <c r="AY19" s="6">
        <f t="shared" si="13"/>
        <v>0</v>
      </c>
      <c r="AZ19" s="6">
        <f t="shared" si="14"/>
        <v>0</v>
      </c>
      <c r="BA19" s="6">
        <f t="shared" si="15"/>
        <v>0</v>
      </c>
      <c r="BB19" s="6">
        <f t="shared" si="16"/>
        <v>-83.383479999999992</v>
      </c>
      <c r="BD19" s="3">
        <f t="shared" si="17"/>
        <v>766.77652</v>
      </c>
      <c r="BE19" s="3">
        <v>0</v>
      </c>
    </row>
    <row r="20" spans="1:57" x14ac:dyDescent="0.25">
      <c r="A20" s="7">
        <v>43617</v>
      </c>
      <c r="B20" s="9">
        <f>IF(Resumen!$B$14="Código",IF(A20&lt;DATE(2021,7,1),Resumen!$B$7,Resumen!$B$7+300),IF(A20&lt;DATE(2022,3,1),Resumen!$B$7,Resumen!$B$7+300))</f>
        <v>1212</v>
      </c>
      <c r="C20" s="76">
        <f>Detalle!C20</f>
        <v>0</v>
      </c>
      <c r="D20" s="76">
        <f>Detalle!D20</f>
        <v>0</v>
      </c>
      <c r="E20" s="4">
        <f t="shared" si="18"/>
        <v>0</v>
      </c>
      <c r="F20" s="4">
        <f t="shared" si="19"/>
        <v>0</v>
      </c>
      <c r="G20" s="4">
        <f>IF(Resumen!$B$14="Código",IF(A20&lt;DATE(2021,7,1),(Resumen!$B$7*0.25%)*DATEDIF("1/1/2009",A20,"y"),IF(Resumen!$B$9="Sí",(((B20*0.03)+(VLOOKUP(YEAR(A20),Resumen!$O$7:$P$12,2,0)*0.05))*DATEDIF(MAX("1/5/2008",Resumen!$B$6),A20,"y")),(((B20*0.03)+(VLOOKUP(YEAR(A20),Resumen!$O$7:$P$12,2,0)*0.05))*DATEDIF(Resumen!$B$6,A20,"y")))),IF(A20&lt;DATE(2022,3,1),(Resumen!$B$7*0.25%)*DATEDIF("1/1/2009",A20,"y"),IF(Resumen!$B$9="Sí",(((B20*0.03)+(VLOOKUP(YEAR(A20),Resumen!$O$7:$P$12,2,0)*0.05))*DATEDIF(MAX("1/5/2008",Resumen!$B$6),A20,"y")),(((B20*0.03)+(VLOOKUP(YEAR(A20),Resumen!$O$7:$P$12,2,0)*0.05))*DATEDIF(Resumen!$B$6,A20,"y")))))</f>
        <v>30.300000000000004</v>
      </c>
      <c r="H20" s="4">
        <f t="shared" si="20"/>
        <v>103.53</v>
      </c>
      <c r="I20" s="4">
        <f t="shared" si="21"/>
        <v>103.48</v>
      </c>
      <c r="J20" s="1">
        <f>IF(Resumen!$B$14="Código",IF(A20&lt;DATE(2021,7,1),0,(0.03*(VLOOKUP(YEAR(A20),Resumen!$O$7:$P$12,2,0))*Resumen!$B$8)),IF(A20&lt;DATE(2022,3,1),0,(0.03*(VLOOKUP(YEAR(A20),Resumen!$O$7:$P$12,2,0))*Resumen!$B$8)))</f>
        <v>0</v>
      </c>
      <c r="K20" s="1">
        <f>IF(Resumen!$B$14="Código",IF(A20&lt;DATE(2021,7,1),0,50),IF(A20&lt;DATE(2022,3,1),0,50))</f>
        <v>0</v>
      </c>
      <c r="L20" s="1">
        <v>0</v>
      </c>
      <c r="M20" s="1">
        <v>0</v>
      </c>
      <c r="N20" s="1">
        <v>0</v>
      </c>
      <c r="O20" s="1">
        <v>0</v>
      </c>
      <c r="P20" s="1">
        <f>IF(Resumen!$B$14="Código",(B20+E20+F20+G20)*9.45%*-1,(B20+E20+F20+G20)*11.45%*-1)</f>
        <v>-142.24334999999999</v>
      </c>
      <c r="Q20" s="3"/>
      <c r="R20" s="9">
        <f t="shared" si="27"/>
        <v>1412</v>
      </c>
      <c r="S20" s="4">
        <f t="shared" si="22"/>
        <v>0</v>
      </c>
      <c r="T20" s="4">
        <f t="shared" si="23"/>
        <v>0</v>
      </c>
      <c r="U20" s="4">
        <f t="shared" si="24"/>
        <v>117.67</v>
      </c>
      <c r="V20" s="4">
        <f t="shared" si="25"/>
        <v>117.62</v>
      </c>
      <c r="W20" s="4">
        <f>(0.03*(VLOOKUP(YEAR(A20),Resumen!$O$7:$P$12,2,0))*Resumen!$B$8)</f>
        <v>23.64</v>
      </c>
      <c r="X20" s="4">
        <f>IF(Resumen!$B$9="Sí",(((R20*0.03)+(VLOOKUP(YEAR(A20),Resumen!$O$7:$P$12,2,0)*0.05))*DATEDIF(MAX("1/5/2008",Resumen!$B$6),A20,"y")),(((R20*0.03)+(VLOOKUP(YEAR(A20),Resumen!$O$7:$P$12,2,0)*0.05))*DATEDIF(Resumen!$B$6,A20,"y")))</f>
        <v>558.54</v>
      </c>
      <c r="Y20" s="3">
        <v>50</v>
      </c>
      <c r="Z20" s="1">
        <f>IF(Resumen!$B$9="Sí",IF(DATEDIF("1/5/2008",A20,"M")/12=5,R20/2,IF(DATEDIF("1/5/2008",A20,"M")/12=10,R20,IF(DATEDIF("1/5/2008",A20,"M")/12=15,R20*1.5,IF(DATEDIF("1/5/2008",A20,"M")/12=20,R20*2,0)))),IF(DATEDIF(Resumen!$B$6,A20,"M")/12=5,R20/2,IF(DATEDIF(Resumen!$B$6,A20,"M")/12=10,R20,IF(DATEDIF(Resumen!$B$6,A20,"M")/12=15,R20*1.5,IF(DATEDIF(Resumen!$B$6,A20,"M")/12=20,R20*2,IF(DATEDIF(Resumen!$B$6,A20,"M")/12=25,R20*2.5,IF(DATEDIF(Resumen!$B$6,A20,"M")/12=30,R20*3)))))))</f>
        <v>0</v>
      </c>
      <c r="AA20" s="19">
        <f>(IF(Resumen!$B$20="Sí",IF(Resumen!$C$20&lt;=A20,IF(DATEDIF(Resumen!$C$20,A20,"Y")&lt;8,VLOOKUP(YEAR(A20),Resumen!$O$7:$P$12,2,0),0),0),0))+(IF(Resumen!$B$21="Sí",IF(Resumen!$C$21&lt;=A20,IF(DATEDIF(Resumen!$C$21,A20,"Y")&lt;8,VLOOKUP(YEAR(A20),Resumen!$O$7:$P$12,2,0),0),0),0))</f>
        <v>0</v>
      </c>
      <c r="AB20" s="1">
        <f>IF(MONTH(A20)=12,VLOOKUP(YEAR(A20),Resumen!$O$7:$P$12,2,0),0)</f>
        <v>0</v>
      </c>
      <c r="AC20" s="1">
        <f t="shared" si="0"/>
        <v>0</v>
      </c>
      <c r="AD20" s="19">
        <f>(IF(Resumen!$B$25="Sí",IF(DATE(YEAR(Resumen!$C$25),MONTH(Resumen!$C$25),1)=A20,1000,0)+(IF(Resumen!$B$26="Sí",IF(DATE(YEAR(Resumen!$C$26),MONTH(Resumen!$C$26),1)=A20,1000,0),0)),0))</f>
        <v>0</v>
      </c>
      <c r="AE20" s="1">
        <v>0</v>
      </c>
      <c r="AF20" s="1">
        <v>0</v>
      </c>
      <c r="AG20" s="19">
        <v>130</v>
      </c>
      <c r="AH20" s="1">
        <v>0</v>
      </c>
      <c r="AI20" s="19">
        <f>IF(MONTH(A20)=12,IF(Resumen!$B$9="Sí",(15+DATEDIF("1/5/2008",A20,"y")-5)*50,(15+DATEDIF(Resumen!$B$6,A20,"y")-5)*50),0)</f>
        <v>0</v>
      </c>
      <c r="AJ20" s="5">
        <f>IF(Resumen!$B$13="No",IF(Resumen!$B$12="No",20,100),0)</f>
        <v>20</v>
      </c>
      <c r="AK20" s="1">
        <f>IF(Resumen!$B$14="Código",(R20+S20+T20+X20)*9.45%*-1,(R20+S20+T20+X20)*11.45%*-1)</f>
        <v>-225.62682999999998</v>
      </c>
      <c r="AM20" s="3">
        <f t="shared" si="1"/>
        <v>200</v>
      </c>
      <c r="AN20" s="4">
        <f t="shared" si="2"/>
        <v>0</v>
      </c>
      <c r="AO20" s="4">
        <f t="shared" si="3"/>
        <v>0</v>
      </c>
      <c r="AP20" s="4">
        <f t="shared" si="4"/>
        <v>14.14</v>
      </c>
      <c r="AQ20" s="4">
        <f t="shared" si="5"/>
        <v>14.14</v>
      </c>
      <c r="AR20" s="4">
        <f t="shared" si="6"/>
        <v>528.24</v>
      </c>
      <c r="AS20" s="4">
        <f t="shared" si="7"/>
        <v>23.64</v>
      </c>
      <c r="AT20" s="4">
        <f t="shared" si="8"/>
        <v>50</v>
      </c>
      <c r="AU20" s="6">
        <f t="shared" si="9"/>
        <v>0</v>
      </c>
      <c r="AV20" s="6">
        <f t="shared" si="10"/>
        <v>0</v>
      </c>
      <c r="AW20" s="6">
        <f t="shared" si="11"/>
        <v>0</v>
      </c>
      <c r="AX20" s="6">
        <f t="shared" si="12"/>
        <v>20</v>
      </c>
      <c r="AY20" s="6">
        <f t="shared" si="13"/>
        <v>0</v>
      </c>
      <c r="AZ20" s="6">
        <f t="shared" si="14"/>
        <v>0</v>
      </c>
      <c r="BA20" s="6">
        <f t="shared" si="15"/>
        <v>0</v>
      </c>
      <c r="BB20" s="6">
        <f t="shared" si="16"/>
        <v>-83.383479999999992</v>
      </c>
      <c r="BD20" s="3">
        <f t="shared" si="17"/>
        <v>766.77652</v>
      </c>
      <c r="BE20" s="3">
        <v>0</v>
      </c>
    </row>
    <row r="21" spans="1:57" x14ac:dyDescent="0.25">
      <c r="A21" s="7">
        <v>43647</v>
      </c>
      <c r="B21" s="9">
        <f>IF(Resumen!$B$14="Código",IF(A21&lt;DATE(2021,7,1),Resumen!$B$7,Resumen!$B$7+300),IF(A21&lt;DATE(2022,3,1),Resumen!$B$7,Resumen!$B$7+300))</f>
        <v>1212</v>
      </c>
      <c r="C21" s="76">
        <f>Detalle!C21</f>
        <v>0</v>
      </c>
      <c r="D21" s="76">
        <f>Detalle!D21</f>
        <v>0</v>
      </c>
      <c r="E21" s="4">
        <f t="shared" si="18"/>
        <v>0</v>
      </c>
      <c r="F21" s="4">
        <f t="shared" si="19"/>
        <v>0</v>
      </c>
      <c r="G21" s="4">
        <f>IF(Resumen!$B$14="Código",IF(A21&lt;DATE(2021,7,1),(Resumen!$B$7*0.25%)*DATEDIF("1/1/2009",A21,"y"),IF(Resumen!$B$9="Sí",(((B21*0.03)+(VLOOKUP(YEAR(A21),Resumen!$O$7:$P$12,2,0)*0.05))*DATEDIF(MAX("1/5/2008",Resumen!$B$6),A21,"y")),(((B21*0.03)+(VLOOKUP(YEAR(A21),Resumen!$O$7:$P$12,2,0)*0.05))*DATEDIF(Resumen!$B$6,A21,"y")))),IF(A21&lt;DATE(2022,3,1),(Resumen!$B$7*0.25%)*DATEDIF("1/1/2009",A21,"y"),IF(Resumen!$B$9="Sí",(((B21*0.03)+(VLOOKUP(YEAR(A21),Resumen!$O$7:$P$12,2,0)*0.05))*DATEDIF(MAX("1/5/2008",Resumen!$B$6),A21,"y")),(((B21*0.03)+(VLOOKUP(YEAR(A21),Resumen!$O$7:$P$12,2,0)*0.05))*DATEDIF(Resumen!$B$6,A21,"y")))))</f>
        <v>30.300000000000004</v>
      </c>
      <c r="H21" s="4">
        <f t="shared" si="20"/>
        <v>103.53</v>
      </c>
      <c r="I21" s="4">
        <f t="shared" si="21"/>
        <v>103.48</v>
      </c>
      <c r="J21" s="1">
        <f>IF(Resumen!$B$14="Código",IF(A21&lt;DATE(2021,7,1),0,(0.03*(VLOOKUP(YEAR(A21),Resumen!$O$7:$P$12,2,0))*Resumen!$B$8)),IF(A21&lt;DATE(2022,3,1),0,(0.03*(VLOOKUP(YEAR(A21),Resumen!$O$7:$P$12,2,0))*Resumen!$B$8)))</f>
        <v>0</v>
      </c>
      <c r="K21" s="1">
        <f>IF(Resumen!$B$14="Código",IF(A21&lt;DATE(2021,7,1),0,50),IF(A21&lt;DATE(2022,3,1),0,50))</f>
        <v>0</v>
      </c>
      <c r="L21" s="1">
        <v>0</v>
      </c>
      <c r="M21" s="1">
        <v>0</v>
      </c>
      <c r="N21" s="1">
        <v>0</v>
      </c>
      <c r="O21" s="1">
        <v>0</v>
      </c>
      <c r="P21" s="1">
        <f>IF(Resumen!$B$14="Código",(B21+E21+F21+G21)*9.45%*-1,(B21+E21+F21+G21)*11.45%*-1)</f>
        <v>-142.24334999999999</v>
      </c>
      <c r="Q21" s="3"/>
      <c r="R21" s="9">
        <f t="shared" si="27"/>
        <v>1412</v>
      </c>
      <c r="S21" s="4">
        <f t="shared" si="22"/>
        <v>0</v>
      </c>
      <c r="T21" s="4">
        <f t="shared" si="23"/>
        <v>0</v>
      </c>
      <c r="U21" s="4">
        <f t="shared" si="24"/>
        <v>117.67</v>
      </c>
      <c r="V21" s="4">
        <f t="shared" si="25"/>
        <v>117.62</v>
      </c>
      <c r="W21" s="4">
        <f>(0.03*(VLOOKUP(YEAR(A21),Resumen!$O$7:$P$12,2,0))*Resumen!$B$8)</f>
        <v>23.64</v>
      </c>
      <c r="X21" s="4">
        <f>IF(Resumen!$B$9="Sí",(((R21*0.03)+(VLOOKUP(YEAR(A21),Resumen!$O$7:$P$12,2,0)*0.05))*DATEDIF(MAX("1/5/2008",Resumen!$B$6),A21,"y")),(((R21*0.03)+(VLOOKUP(YEAR(A21),Resumen!$O$7:$P$12,2,0)*0.05))*DATEDIF(Resumen!$B$6,A21,"y")))</f>
        <v>558.54</v>
      </c>
      <c r="Y21" s="3">
        <v>50</v>
      </c>
      <c r="Z21" s="1">
        <f>IF(Resumen!$B$9="Sí",IF(DATEDIF("1/5/2008",A21,"M")/12=5,R21/2,IF(DATEDIF("1/5/2008",A21,"M")/12=10,R21,IF(DATEDIF("1/5/2008",A21,"M")/12=15,R21*1.5,IF(DATEDIF("1/5/2008",A21,"M")/12=20,R21*2,0)))),IF(DATEDIF(Resumen!$B$6,A21,"M")/12=5,R21/2,IF(DATEDIF(Resumen!$B$6,A21,"M")/12=10,R21,IF(DATEDIF(Resumen!$B$6,A21,"M")/12=15,R21*1.5,IF(DATEDIF(Resumen!$B$6,A21,"M")/12=20,R21*2,IF(DATEDIF(Resumen!$B$6,A21,"M")/12=25,R21*2.5,IF(DATEDIF(Resumen!$B$6,A21,"M")/12=30,R21*3)))))))</f>
        <v>0</v>
      </c>
      <c r="AA21" s="19">
        <f>(IF(Resumen!$B$20="Sí",IF(Resumen!$C$20&lt;=A21,IF(DATEDIF(Resumen!$C$20,A21,"Y")&lt;8,VLOOKUP(YEAR(A21),Resumen!$O$7:$P$12,2,0),0),0),0))+(IF(Resumen!$B$21="Sí",IF(Resumen!$C$21&lt;=A21,IF(DATEDIF(Resumen!$C$21,A21,"Y")&lt;8,VLOOKUP(YEAR(A21),Resumen!$O$7:$P$12,2,0),0),0),0))</f>
        <v>0</v>
      </c>
      <c r="AB21" s="1">
        <f>IF(MONTH(A21)=12,VLOOKUP(YEAR(A21),Resumen!$O$7:$P$12,2,0),0)</f>
        <v>0</v>
      </c>
      <c r="AC21" s="1">
        <f t="shared" si="0"/>
        <v>0</v>
      </c>
      <c r="AD21" s="19">
        <f>(IF(Resumen!$B$25="Sí",IF(DATE(YEAR(Resumen!$C$25),MONTH(Resumen!$C$25),1)=A21,1000,0)+(IF(Resumen!$B$26="Sí",IF(DATE(YEAR(Resumen!$C$26),MONTH(Resumen!$C$26),1)=A21,1000,0),0)),0))</f>
        <v>0</v>
      </c>
      <c r="AE21" s="1">
        <v>0</v>
      </c>
      <c r="AF21" s="1">
        <v>0</v>
      </c>
      <c r="AG21" s="19">
        <v>130</v>
      </c>
      <c r="AH21" s="1">
        <v>0</v>
      </c>
      <c r="AI21" s="19">
        <f>IF(MONTH(A21)=12,IF(Resumen!$B$9="Sí",(15+DATEDIF("1/5/2008",A21,"y")-5)*50,(15+DATEDIF(Resumen!$B$6,A21,"y")-5)*50),0)</f>
        <v>0</v>
      </c>
      <c r="AJ21" s="5">
        <f>IF(Resumen!$B$13="No",IF(Resumen!$B$12="No",20,100),0)</f>
        <v>20</v>
      </c>
      <c r="AK21" s="1">
        <f>IF(Resumen!$B$14="Código",(R21+S21+T21+X21)*9.45%*-1,(R21+S21+T21+X21)*11.45%*-1)</f>
        <v>-225.62682999999998</v>
      </c>
      <c r="AM21" s="3">
        <f t="shared" si="1"/>
        <v>200</v>
      </c>
      <c r="AN21" s="4">
        <f t="shared" si="2"/>
        <v>0</v>
      </c>
      <c r="AO21" s="4">
        <f t="shared" si="3"/>
        <v>0</v>
      </c>
      <c r="AP21" s="4">
        <f t="shared" si="4"/>
        <v>14.14</v>
      </c>
      <c r="AQ21" s="4">
        <f t="shared" si="5"/>
        <v>14.14</v>
      </c>
      <c r="AR21" s="4">
        <f t="shared" si="6"/>
        <v>528.24</v>
      </c>
      <c r="AS21" s="4">
        <f t="shared" si="7"/>
        <v>23.64</v>
      </c>
      <c r="AT21" s="4">
        <f t="shared" si="8"/>
        <v>50</v>
      </c>
      <c r="AU21" s="6">
        <f t="shared" si="9"/>
        <v>0</v>
      </c>
      <c r="AV21" s="6">
        <f t="shared" si="10"/>
        <v>0</v>
      </c>
      <c r="AW21" s="6">
        <f t="shared" si="11"/>
        <v>0</v>
      </c>
      <c r="AX21" s="6">
        <f t="shared" si="12"/>
        <v>20</v>
      </c>
      <c r="AY21" s="6">
        <f t="shared" si="13"/>
        <v>0</v>
      </c>
      <c r="AZ21" s="6">
        <f t="shared" si="14"/>
        <v>0</v>
      </c>
      <c r="BA21" s="6">
        <f t="shared" si="15"/>
        <v>0</v>
      </c>
      <c r="BB21" s="6">
        <f t="shared" si="16"/>
        <v>-83.383479999999992</v>
      </c>
      <c r="BD21" s="3">
        <f t="shared" si="17"/>
        <v>766.77652</v>
      </c>
      <c r="BE21" s="3">
        <v>0</v>
      </c>
    </row>
    <row r="22" spans="1:57" x14ac:dyDescent="0.25">
      <c r="A22" s="7">
        <v>43678</v>
      </c>
      <c r="B22" s="9">
        <f>IF(Resumen!$B$14="Código",IF(A22&lt;DATE(2021,7,1),Resumen!$B$7,Resumen!$B$7+300),IF(A22&lt;DATE(2022,3,1),Resumen!$B$7,Resumen!$B$7+300))</f>
        <v>1212</v>
      </c>
      <c r="C22" s="76">
        <f>Detalle!C22</f>
        <v>0</v>
      </c>
      <c r="D22" s="76">
        <f>Detalle!D22</f>
        <v>0</v>
      </c>
      <c r="E22" s="4">
        <f t="shared" si="18"/>
        <v>0</v>
      </c>
      <c r="F22" s="4">
        <f t="shared" si="19"/>
        <v>0</v>
      </c>
      <c r="G22" s="4">
        <f>IF(Resumen!$B$14="Código",IF(A22&lt;DATE(2021,7,1),(Resumen!$B$7*0.25%)*DATEDIF("1/1/2009",A22,"y"),IF(Resumen!$B$9="Sí",(((B22*0.03)+(VLOOKUP(YEAR(A22),Resumen!$O$7:$P$12,2,0)*0.05))*DATEDIF(MAX("1/5/2008",Resumen!$B$6),A22,"y")),(((B22*0.03)+(VLOOKUP(YEAR(A22),Resumen!$O$7:$P$12,2,0)*0.05))*DATEDIF(Resumen!$B$6,A22,"y")))),IF(A22&lt;DATE(2022,3,1),(Resumen!$B$7*0.25%)*DATEDIF("1/1/2009",A22,"y"),IF(Resumen!$B$9="Sí",(((B22*0.03)+(VLOOKUP(YEAR(A22),Resumen!$O$7:$P$12,2,0)*0.05))*DATEDIF(MAX("1/5/2008",Resumen!$B$6),A22,"y")),(((B22*0.03)+(VLOOKUP(YEAR(A22),Resumen!$O$7:$P$12,2,0)*0.05))*DATEDIF(Resumen!$B$6,A22,"y")))))</f>
        <v>30.300000000000004</v>
      </c>
      <c r="H22" s="4">
        <f t="shared" si="20"/>
        <v>103.53</v>
      </c>
      <c r="I22" s="4">
        <f t="shared" si="21"/>
        <v>103.48</v>
      </c>
      <c r="J22" s="1">
        <f>IF(Resumen!$B$14="Código",IF(A22&lt;DATE(2021,7,1),0,(0.03*(VLOOKUP(YEAR(A22),Resumen!$O$7:$P$12,2,0))*Resumen!$B$8)),IF(A22&lt;DATE(2022,3,1),0,(0.03*(VLOOKUP(YEAR(A22),Resumen!$O$7:$P$12,2,0))*Resumen!$B$8)))</f>
        <v>0</v>
      </c>
      <c r="K22" s="1">
        <f>IF(Resumen!$B$14="Código",IF(A22&lt;DATE(2021,7,1),0,50),IF(A22&lt;DATE(2022,3,1),0,50))</f>
        <v>0</v>
      </c>
      <c r="L22" s="1">
        <v>0</v>
      </c>
      <c r="M22" s="1">
        <v>0</v>
      </c>
      <c r="N22" s="1">
        <v>0</v>
      </c>
      <c r="O22" s="1">
        <v>0</v>
      </c>
      <c r="P22" s="1">
        <f>IF(Resumen!$B$14="Código",(B22+E22+F22+G22)*9.45%*-1,(B22+E22+F22+G22)*11.45%*-1)</f>
        <v>-142.24334999999999</v>
      </c>
      <c r="Q22" s="3"/>
      <c r="R22" s="9">
        <f t="shared" si="27"/>
        <v>1412</v>
      </c>
      <c r="S22" s="4">
        <f t="shared" si="22"/>
        <v>0</v>
      </c>
      <c r="T22" s="4">
        <f t="shared" si="23"/>
        <v>0</v>
      </c>
      <c r="U22" s="4">
        <f t="shared" si="24"/>
        <v>117.67</v>
      </c>
      <c r="V22" s="4">
        <f t="shared" si="25"/>
        <v>117.62</v>
      </c>
      <c r="W22" s="4">
        <f>(0.03*(VLOOKUP(YEAR(A22),Resumen!$O$7:$P$12,2,0))*Resumen!$B$8)</f>
        <v>23.64</v>
      </c>
      <c r="X22" s="4">
        <f>IF(Resumen!$B$9="Sí",(((R22*0.03)+(VLOOKUP(YEAR(A22),Resumen!$O$7:$P$12,2,0)*0.05))*DATEDIF(MAX("1/5/2008",Resumen!$B$6),A22,"y")),(((R22*0.03)+(VLOOKUP(YEAR(A22),Resumen!$O$7:$P$12,2,0)*0.05))*DATEDIF(Resumen!$B$6,A22,"y")))</f>
        <v>558.54</v>
      </c>
      <c r="Y22" s="3">
        <v>50</v>
      </c>
      <c r="Z22" s="1">
        <f>IF(Resumen!$B$9="Sí",IF(DATEDIF("1/5/2008",A22,"M")/12=5,R22/2,IF(DATEDIF("1/5/2008",A22,"M")/12=10,R22,IF(DATEDIF("1/5/2008",A22,"M")/12=15,R22*1.5,IF(DATEDIF("1/5/2008",A22,"M")/12=20,R22*2,0)))),IF(DATEDIF(Resumen!$B$6,A22,"M")/12=5,R22/2,IF(DATEDIF(Resumen!$B$6,A22,"M")/12=10,R22,IF(DATEDIF(Resumen!$B$6,A22,"M")/12=15,R22*1.5,IF(DATEDIF(Resumen!$B$6,A22,"M")/12=20,R22*2,IF(DATEDIF(Resumen!$B$6,A22,"M")/12=25,R22*2.5,IF(DATEDIF(Resumen!$B$6,A22,"M")/12=30,R22*3)))))))</f>
        <v>0</v>
      </c>
      <c r="AA22" s="19">
        <f>(IF(Resumen!$B$20="Sí",IF(Resumen!$C$20&lt;=A22,IF(DATEDIF(Resumen!$C$20,A22,"Y")&lt;8,VLOOKUP(YEAR(A22),Resumen!$O$7:$P$12,2,0),0),0),0))+(IF(Resumen!$B$21="Sí",IF(Resumen!$C$21&lt;=A22,IF(DATEDIF(Resumen!$C$21,A22,"Y")&lt;8,VLOOKUP(YEAR(A22),Resumen!$O$7:$P$12,2,0),0),0),0))</f>
        <v>0</v>
      </c>
      <c r="AB22" s="1">
        <f>IF(MONTH(A22)=12,VLOOKUP(YEAR(A22),Resumen!$O$7:$P$12,2,0),0)</f>
        <v>0</v>
      </c>
      <c r="AC22" s="1">
        <f t="shared" si="0"/>
        <v>0</v>
      </c>
      <c r="AD22" s="19">
        <f>(IF(Resumen!$B$25="Sí",IF(DATE(YEAR(Resumen!$C$25),MONTH(Resumen!$C$25),1)=A22,1000,0)+(IF(Resumen!$B$26="Sí",IF(DATE(YEAR(Resumen!$C$26),MONTH(Resumen!$C$26),1)=A22,1000,0),0)),0))</f>
        <v>0</v>
      </c>
      <c r="AE22" s="1">
        <v>0</v>
      </c>
      <c r="AF22" s="1">
        <v>0</v>
      </c>
      <c r="AG22" s="19">
        <v>130</v>
      </c>
      <c r="AH22" s="1">
        <v>0</v>
      </c>
      <c r="AI22" s="19">
        <f>IF(MONTH(A22)=12,IF(Resumen!$B$9="Sí",(15+DATEDIF("1/5/2008",A22,"y")-5)*50,(15+DATEDIF(Resumen!$B$6,A22,"y")-5)*50),0)</f>
        <v>0</v>
      </c>
      <c r="AJ22" s="5">
        <f>IF(Resumen!$B$13="No",IF(Resumen!$B$12="No",20,100),0)</f>
        <v>20</v>
      </c>
      <c r="AK22" s="1">
        <f>IF(Resumen!$B$14="Código",(R22+S22+T22+X22)*9.45%*-1,(R22+S22+T22+X22)*11.45%*-1)</f>
        <v>-225.62682999999998</v>
      </c>
      <c r="AM22" s="3">
        <f t="shared" si="1"/>
        <v>200</v>
      </c>
      <c r="AN22" s="4">
        <f t="shared" si="2"/>
        <v>0</v>
      </c>
      <c r="AO22" s="4">
        <f t="shared" si="3"/>
        <v>0</v>
      </c>
      <c r="AP22" s="4">
        <f t="shared" si="4"/>
        <v>14.14</v>
      </c>
      <c r="AQ22" s="4">
        <f t="shared" si="5"/>
        <v>14.14</v>
      </c>
      <c r="AR22" s="4">
        <f t="shared" si="6"/>
        <v>528.24</v>
      </c>
      <c r="AS22" s="4">
        <f t="shared" si="7"/>
        <v>23.64</v>
      </c>
      <c r="AT22" s="4">
        <f t="shared" si="8"/>
        <v>50</v>
      </c>
      <c r="AU22" s="6">
        <f t="shared" si="9"/>
        <v>0</v>
      </c>
      <c r="AV22" s="6">
        <f t="shared" si="10"/>
        <v>0</v>
      </c>
      <c r="AW22" s="6">
        <f t="shared" si="11"/>
        <v>0</v>
      </c>
      <c r="AX22" s="6">
        <f t="shared" si="12"/>
        <v>20</v>
      </c>
      <c r="AY22" s="6">
        <f t="shared" si="13"/>
        <v>0</v>
      </c>
      <c r="AZ22" s="6">
        <f t="shared" si="14"/>
        <v>0</v>
      </c>
      <c r="BA22" s="6">
        <f t="shared" si="15"/>
        <v>0</v>
      </c>
      <c r="BB22" s="6">
        <f t="shared" si="16"/>
        <v>-83.383479999999992</v>
      </c>
      <c r="BD22" s="3">
        <f t="shared" si="17"/>
        <v>766.77652</v>
      </c>
      <c r="BE22" s="3">
        <v>0</v>
      </c>
    </row>
    <row r="23" spans="1:57" x14ac:dyDescent="0.25">
      <c r="A23" s="7">
        <v>43709</v>
      </c>
      <c r="B23" s="9">
        <f>IF(Resumen!$B$14="Código",IF(A23&lt;DATE(2021,7,1),Resumen!$B$7,Resumen!$B$7+300),IF(A23&lt;DATE(2022,3,1),Resumen!$B$7,Resumen!$B$7+300))</f>
        <v>1212</v>
      </c>
      <c r="C23" s="76">
        <f>Detalle!C23</f>
        <v>0</v>
      </c>
      <c r="D23" s="76">
        <f>Detalle!D23</f>
        <v>0</v>
      </c>
      <c r="E23" s="4">
        <f t="shared" si="18"/>
        <v>0</v>
      </c>
      <c r="F23" s="4">
        <f t="shared" si="19"/>
        <v>0</v>
      </c>
      <c r="G23" s="4">
        <f>IF(Resumen!$B$14="Código",IF(A23&lt;DATE(2021,7,1),(Resumen!$B$7*0.25%)*DATEDIF("1/1/2009",A23,"y"),IF(Resumen!$B$9="Sí",(((B23*0.03)+(VLOOKUP(YEAR(A23),Resumen!$O$7:$P$12,2,0)*0.05))*DATEDIF(MAX("1/5/2008",Resumen!$B$6),A23,"y")),(((B23*0.03)+(VLOOKUP(YEAR(A23),Resumen!$O$7:$P$12,2,0)*0.05))*DATEDIF(Resumen!$B$6,A23,"y")))),IF(A23&lt;DATE(2022,3,1),(Resumen!$B$7*0.25%)*DATEDIF("1/1/2009",A23,"y"),IF(Resumen!$B$9="Sí",(((B23*0.03)+(VLOOKUP(YEAR(A23),Resumen!$O$7:$P$12,2,0)*0.05))*DATEDIF(MAX("1/5/2008",Resumen!$B$6),A23,"y")),(((B23*0.03)+(VLOOKUP(YEAR(A23),Resumen!$O$7:$P$12,2,0)*0.05))*DATEDIF(Resumen!$B$6,A23,"y")))))</f>
        <v>30.300000000000004</v>
      </c>
      <c r="H23" s="4">
        <f t="shared" si="20"/>
        <v>103.53</v>
      </c>
      <c r="I23" s="4">
        <f t="shared" si="21"/>
        <v>103.48</v>
      </c>
      <c r="J23" s="1">
        <f>IF(Resumen!$B$14="Código",IF(A23&lt;DATE(2021,7,1),0,(0.03*(VLOOKUP(YEAR(A23),Resumen!$O$7:$P$12,2,0))*Resumen!$B$8)),IF(A23&lt;DATE(2022,3,1),0,(0.03*(VLOOKUP(YEAR(A23),Resumen!$O$7:$P$12,2,0))*Resumen!$B$8)))</f>
        <v>0</v>
      </c>
      <c r="K23" s="1">
        <f>IF(Resumen!$B$14="Código",IF(A23&lt;DATE(2021,7,1),0,50),IF(A23&lt;DATE(2022,3,1),0,50))</f>
        <v>0</v>
      </c>
      <c r="L23" s="1">
        <v>0</v>
      </c>
      <c r="M23" s="1">
        <v>0</v>
      </c>
      <c r="N23" s="1">
        <v>0</v>
      </c>
      <c r="O23" s="1">
        <v>0</v>
      </c>
      <c r="P23" s="1">
        <f>IF(Resumen!$B$14="Código",(B23+E23+F23+G23)*9.45%*-1,(B23+E23+F23+G23)*11.45%*-1)</f>
        <v>-142.24334999999999</v>
      </c>
      <c r="Q23" s="3"/>
      <c r="R23" s="9">
        <f t="shared" si="27"/>
        <v>1412</v>
      </c>
      <c r="S23" s="4">
        <f t="shared" si="22"/>
        <v>0</v>
      </c>
      <c r="T23" s="4">
        <f t="shared" si="23"/>
        <v>0</v>
      </c>
      <c r="U23" s="4">
        <f t="shared" si="24"/>
        <v>117.67</v>
      </c>
      <c r="V23" s="4">
        <f t="shared" si="25"/>
        <v>117.62</v>
      </c>
      <c r="W23" s="4">
        <f>(0.03*(VLOOKUP(YEAR(A23),Resumen!$O$7:$P$12,2,0))*Resumen!$B$8)</f>
        <v>23.64</v>
      </c>
      <c r="X23" s="4">
        <f>IF(Resumen!$B$9="Sí",(((R23*0.03)+(VLOOKUP(YEAR(A23),Resumen!$O$7:$P$12,2,0)*0.05))*DATEDIF(MAX("1/5/2008",Resumen!$B$6),A23,"y")),(((R23*0.03)+(VLOOKUP(YEAR(A23),Resumen!$O$7:$P$12,2,0)*0.05))*DATEDIF(Resumen!$B$6,A23,"y")))</f>
        <v>558.54</v>
      </c>
      <c r="Y23" s="3">
        <v>50</v>
      </c>
      <c r="Z23" s="1">
        <f>IF(Resumen!$B$9="Sí",IF(DATEDIF("1/5/2008",A23,"M")/12=5,R23/2,IF(DATEDIF("1/5/2008",A23,"M")/12=10,R23,IF(DATEDIF("1/5/2008",A23,"M")/12=15,R23*1.5,IF(DATEDIF("1/5/2008",A23,"M")/12=20,R23*2,0)))),IF(DATEDIF(Resumen!$B$6,A23,"M")/12=5,R23/2,IF(DATEDIF(Resumen!$B$6,A23,"M")/12=10,R23,IF(DATEDIF(Resumen!$B$6,A23,"M")/12=15,R23*1.5,IF(DATEDIF(Resumen!$B$6,A23,"M")/12=20,R23*2,IF(DATEDIF(Resumen!$B$6,A23,"M")/12=25,R23*2.5,IF(DATEDIF(Resumen!$B$6,A23,"M")/12=30,R23*3)))))))</f>
        <v>0</v>
      </c>
      <c r="AA23" s="19">
        <f>(IF(Resumen!$B$20="Sí",IF(Resumen!$C$20&lt;=A23,IF(DATEDIF(Resumen!$C$20,A23,"Y")&lt;8,VLOOKUP(YEAR(A23),Resumen!$O$7:$P$12,2,0),0),0),0))+(IF(Resumen!$B$21="Sí",IF(Resumen!$C$21&lt;=A23,IF(DATEDIF(Resumen!$C$21,A23,"Y")&lt;8,VLOOKUP(YEAR(A23),Resumen!$O$7:$P$12,2,0),0),0),0))</f>
        <v>0</v>
      </c>
      <c r="AB23" s="1">
        <f>IF(MONTH(A23)=12,VLOOKUP(YEAR(A23),Resumen!$O$7:$P$12,2,0),0)</f>
        <v>0</v>
      </c>
      <c r="AC23" s="1">
        <f t="shared" si="0"/>
        <v>0</v>
      </c>
      <c r="AD23" s="19">
        <f>(IF(Resumen!$B$25="Sí",IF(DATE(YEAR(Resumen!$C$25),MONTH(Resumen!$C$25),1)=A23,1000,0)+(IF(Resumen!$B$26="Sí",IF(DATE(YEAR(Resumen!$C$26),MONTH(Resumen!$C$26),1)=A23,1000,0),0)),0))</f>
        <v>0</v>
      </c>
      <c r="AE23" s="1">
        <v>0</v>
      </c>
      <c r="AF23" s="1">
        <v>0</v>
      </c>
      <c r="AG23" s="19">
        <v>130</v>
      </c>
      <c r="AH23" s="1">
        <v>0</v>
      </c>
      <c r="AI23" s="19">
        <f>IF(MONTH(A23)=12,IF(Resumen!$B$9="Sí",(15+DATEDIF("1/5/2008",A23,"y")-5)*50,(15+DATEDIF(Resumen!$B$6,A23,"y")-5)*50),0)</f>
        <v>0</v>
      </c>
      <c r="AJ23" s="5">
        <f>IF(Resumen!$B$13="No",IF(Resumen!$B$12="No",20,100),0)</f>
        <v>20</v>
      </c>
      <c r="AK23" s="1">
        <f>IF(Resumen!$B$14="Código",(R23+S23+T23+X23)*9.45%*-1,(R23+S23+T23+X23)*11.45%*-1)</f>
        <v>-225.62682999999998</v>
      </c>
      <c r="AM23" s="3">
        <f t="shared" si="1"/>
        <v>200</v>
      </c>
      <c r="AN23" s="4">
        <f t="shared" si="2"/>
        <v>0</v>
      </c>
      <c r="AO23" s="4">
        <f t="shared" si="3"/>
        <v>0</v>
      </c>
      <c r="AP23" s="4">
        <f t="shared" si="4"/>
        <v>14.14</v>
      </c>
      <c r="AQ23" s="4">
        <f t="shared" si="5"/>
        <v>14.14</v>
      </c>
      <c r="AR23" s="4">
        <f t="shared" si="6"/>
        <v>528.24</v>
      </c>
      <c r="AS23" s="4">
        <f t="shared" si="7"/>
        <v>23.64</v>
      </c>
      <c r="AT23" s="4">
        <f t="shared" si="8"/>
        <v>50</v>
      </c>
      <c r="AU23" s="6">
        <f t="shared" si="9"/>
        <v>0</v>
      </c>
      <c r="AV23" s="6">
        <f t="shared" si="10"/>
        <v>0</v>
      </c>
      <c r="AW23" s="6">
        <f t="shared" si="11"/>
        <v>0</v>
      </c>
      <c r="AX23" s="6">
        <f t="shared" si="12"/>
        <v>20</v>
      </c>
      <c r="AY23" s="6">
        <f t="shared" si="13"/>
        <v>0</v>
      </c>
      <c r="AZ23" s="6">
        <f t="shared" si="14"/>
        <v>0</v>
      </c>
      <c r="BA23" s="6">
        <f t="shared" si="15"/>
        <v>0</v>
      </c>
      <c r="BB23" s="6">
        <f t="shared" si="16"/>
        <v>-83.383479999999992</v>
      </c>
      <c r="BD23" s="3">
        <f t="shared" si="17"/>
        <v>766.77652</v>
      </c>
      <c r="BE23" s="3">
        <v>0</v>
      </c>
    </row>
    <row r="24" spans="1:57" x14ac:dyDescent="0.25">
      <c r="A24" s="7">
        <v>43739</v>
      </c>
      <c r="B24" s="9">
        <f>IF(Resumen!$B$14="Código",IF(A24&lt;DATE(2021,7,1),Resumen!$B$7,Resumen!$B$7+300),IF(A24&lt;DATE(2022,3,1),Resumen!$B$7,Resumen!$B$7+300))</f>
        <v>1212</v>
      </c>
      <c r="C24" s="76">
        <f>Detalle!C24</f>
        <v>0</v>
      </c>
      <c r="D24" s="76">
        <f>Detalle!D24</f>
        <v>0</v>
      </c>
      <c r="E24" s="4">
        <f t="shared" si="18"/>
        <v>0</v>
      </c>
      <c r="F24" s="4">
        <f t="shared" si="19"/>
        <v>0</v>
      </c>
      <c r="G24" s="4">
        <f>IF(Resumen!$B$14="Código",IF(A24&lt;DATE(2021,7,1),(Resumen!$B$7*0.25%)*DATEDIF("1/1/2009",A24,"y"),IF(Resumen!$B$9="Sí",(((B24*0.03)+(VLOOKUP(YEAR(A24),Resumen!$O$7:$P$12,2,0)*0.05))*DATEDIF(MAX("1/5/2008",Resumen!$B$6),A24,"y")),(((B24*0.03)+(VLOOKUP(YEAR(A24),Resumen!$O$7:$P$12,2,0)*0.05))*DATEDIF(Resumen!$B$6,A24,"y")))),IF(A24&lt;DATE(2022,3,1),(Resumen!$B$7*0.25%)*DATEDIF("1/1/2009",A24,"y"),IF(Resumen!$B$9="Sí",(((B24*0.03)+(VLOOKUP(YEAR(A24),Resumen!$O$7:$P$12,2,0)*0.05))*DATEDIF(MAX("1/5/2008",Resumen!$B$6),A24,"y")),(((B24*0.03)+(VLOOKUP(YEAR(A24),Resumen!$O$7:$P$12,2,0)*0.05))*DATEDIF(Resumen!$B$6,A24,"y")))))</f>
        <v>30.300000000000004</v>
      </c>
      <c r="H24" s="4">
        <f t="shared" si="20"/>
        <v>103.53</v>
      </c>
      <c r="I24" s="4">
        <f t="shared" si="21"/>
        <v>103.48</v>
      </c>
      <c r="J24" s="1">
        <f>IF(Resumen!$B$14="Código",IF(A24&lt;DATE(2021,7,1),0,(0.03*(VLOOKUP(YEAR(A24),Resumen!$O$7:$P$12,2,0))*Resumen!$B$8)),IF(A24&lt;DATE(2022,3,1),0,(0.03*(VLOOKUP(YEAR(A24),Resumen!$O$7:$P$12,2,0))*Resumen!$B$8)))</f>
        <v>0</v>
      </c>
      <c r="K24" s="1">
        <f>IF(Resumen!$B$14="Código",IF(A24&lt;DATE(2021,7,1),0,50),IF(A24&lt;DATE(2022,3,1),0,50))</f>
        <v>0</v>
      </c>
      <c r="L24" s="1">
        <v>0</v>
      </c>
      <c r="M24" s="1">
        <v>0</v>
      </c>
      <c r="N24" s="1">
        <v>0</v>
      </c>
      <c r="O24" s="1">
        <v>0</v>
      </c>
      <c r="P24" s="1">
        <f>IF(Resumen!$B$14="Código",(B24+E24+F24+G24)*9.45%*-1,(B24+E24+F24+G24)*11.45%*-1)</f>
        <v>-142.24334999999999</v>
      </c>
      <c r="Q24" s="3"/>
      <c r="R24" s="9">
        <f t="shared" si="27"/>
        <v>1412</v>
      </c>
      <c r="S24" s="4">
        <f t="shared" si="22"/>
        <v>0</v>
      </c>
      <c r="T24" s="4">
        <f t="shared" si="23"/>
        <v>0</v>
      </c>
      <c r="U24" s="4">
        <f t="shared" si="24"/>
        <v>117.67</v>
      </c>
      <c r="V24" s="4">
        <f t="shared" si="25"/>
        <v>117.62</v>
      </c>
      <c r="W24" s="4">
        <f>(0.03*(VLOOKUP(YEAR(A24),Resumen!$O$7:$P$12,2,0))*Resumen!$B$8)</f>
        <v>23.64</v>
      </c>
      <c r="X24" s="4">
        <f>IF(Resumen!$B$9="Sí",(((R24*0.03)+(VLOOKUP(YEAR(A24),Resumen!$O$7:$P$12,2,0)*0.05))*DATEDIF(MAX("1/5/2008",Resumen!$B$6),A24,"y")),(((R24*0.03)+(VLOOKUP(YEAR(A24),Resumen!$O$7:$P$12,2,0)*0.05))*DATEDIF(Resumen!$B$6,A24,"y")))</f>
        <v>558.54</v>
      </c>
      <c r="Y24" s="3">
        <v>50</v>
      </c>
      <c r="Z24" s="1">
        <f>IF(Resumen!$B$9="Sí",IF(DATEDIF("1/5/2008",A24,"M")/12=5,R24/2,IF(DATEDIF("1/5/2008",A24,"M")/12=10,R24,IF(DATEDIF("1/5/2008",A24,"M")/12=15,R24*1.5,IF(DATEDIF("1/5/2008",A24,"M")/12=20,R24*2,0)))),IF(DATEDIF(Resumen!$B$6,A24,"M")/12=5,R24/2,IF(DATEDIF(Resumen!$B$6,A24,"M")/12=10,R24,IF(DATEDIF(Resumen!$B$6,A24,"M")/12=15,R24*1.5,IF(DATEDIF(Resumen!$B$6,A24,"M")/12=20,R24*2,IF(DATEDIF(Resumen!$B$6,A24,"M")/12=25,R24*2.5,IF(DATEDIF(Resumen!$B$6,A24,"M")/12=30,R24*3)))))))</f>
        <v>0</v>
      </c>
      <c r="AA24" s="19">
        <f>(IF(Resumen!$B$20="Sí",IF(Resumen!$C$20&lt;=A24,IF(DATEDIF(Resumen!$C$20,A24,"Y")&lt;8,VLOOKUP(YEAR(A24),Resumen!$O$7:$P$12,2,0),0),0),0))+(IF(Resumen!$B$21="Sí",IF(Resumen!$C$21&lt;=A24,IF(DATEDIF(Resumen!$C$21,A24,"Y")&lt;8,VLOOKUP(YEAR(A24),Resumen!$O$7:$P$12,2,0),0),0),0))</f>
        <v>0</v>
      </c>
      <c r="AB24" s="1">
        <f>IF(MONTH(A24)=12,VLOOKUP(YEAR(A24),Resumen!$O$7:$P$12,2,0),0)</f>
        <v>0</v>
      </c>
      <c r="AC24" s="1">
        <f t="shared" si="0"/>
        <v>0</v>
      </c>
      <c r="AD24" s="19">
        <f>(IF(Resumen!$B$25="Sí",IF(DATE(YEAR(Resumen!$C$25),MONTH(Resumen!$C$25),1)=A24,1000,0)+(IF(Resumen!$B$26="Sí",IF(DATE(YEAR(Resumen!$C$26),MONTH(Resumen!$C$26),1)=A24,1000,0),0)),0))</f>
        <v>0</v>
      </c>
      <c r="AE24" s="1">
        <v>0</v>
      </c>
      <c r="AF24" s="1">
        <v>0</v>
      </c>
      <c r="AG24" s="19">
        <v>130</v>
      </c>
      <c r="AH24" s="1">
        <v>0</v>
      </c>
      <c r="AI24" s="19">
        <f>IF(MONTH(A24)=12,IF(Resumen!$B$9="Sí",(15+DATEDIF("1/5/2008",A24,"y")-5)*50,(15+DATEDIF(Resumen!$B$6,A24,"y")-5)*50),0)</f>
        <v>0</v>
      </c>
      <c r="AJ24" s="5">
        <f>IF(Resumen!$B$13="No",IF(Resumen!$B$12="No",20,100),0)</f>
        <v>20</v>
      </c>
      <c r="AK24" s="1">
        <f>IF(Resumen!$B$14="Código",(R24+S24+T24+X24)*9.45%*-1,(R24+S24+T24+X24)*11.45%*-1)</f>
        <v>-225.62682999999998</v>
      </c>
      <c r="AM24" s="3">
        <f t="shared" si="1"/>
        <v>200</v>
      </c>
      <c r="AN24" s="4">
        <f t="shared" si="2"/>
        <v>0</v>
      </c>
      <c r="AO24" s="4">
        <f t="shared" si="3"/>
        <v>0</v>
      </c>
      <c r="AP24" s="4">
        <f t="shared" si="4"/>
        <v>14.14</v>
      </c>
      <c r="AQ24" s="4">
        <f t="shared" si="5"/>
        <v>14.14</v>
      </c>
      <c r="AR24" s="4">
        <f t="shared" si="6"/>
        <v>528.24</v>
      </c>
      <c r="AS24" s="4">
        <f t="shared" si="7"/>
        <v>23.64</v>
      </c>
      <c r="AT24" s="4">
        <f t="shared" si="8"/>
        <v>50</v>
      </c>
      <c r="AU24" s="6">
        <f t="shared" si="9"/>
        <v>0</v>
      </c>
      <c r="AV24" s="6">
        <f t="shared" si="10"/>
        <v>0</v>
      </c>
      <c r="AW24" s="6">
        <f t="shared" si="11"/>
        <v>0</v>
      </c>
      <c r="AX24" s="6">
        <f t="shared" si="12"/>
        <v>20</v>
      </c>
      <c r="AY24" s="6">
        <f t="shared" si="13"/>
        <v>0</v>
      </c>
      <c r="AZ24" s="6">
        <f t="shared" si="14"/>
        <v>0</v>
      </c>
      <c r="BA24" s="6">
        <f t="shared" si="15"/>
        <v>0</v>
      </c>
      <c r="BB24" s="6">
        <f t="shared" si="16"/>
        <v>-83.383479999999992</v>
      </c>
      <c r="BD24" s="3">
        <f t="shared" si="17"/>
        <v>766.77652</v>
      </c>
      <c r="BE24" s="3">
        <v>0</v>
      </c>
    </row>
    <row r="25" spans="1:57" x14ac:dyDescent="0.25">
      <c r="A25" s="7">
        <v>43770</v>
      </c>
      <c r="B25" s="9">
        <f>IF(Resumen!$B$14="Código",IF(A25&lt;DATE(2021,7,1),Resumen!$B$7,Resumen!$B$7+300),IF(A25&lt;DATE(2022,3,1),Resumen!$B$7,Resumen!$B$7+300))</f>
        <v>1212</v>
      </c>
      <c r="C25" s="76">
        <f>Detalle!C25</f>
        <v>0</v>
      </c>
      <c r="D25" s="76">
        <f>Detalle!D25</f>
        <v>0</v>
      </c>
      <c r="E25" s="4">
        <f t="shared" si="18"/>
        <v>0</v>
      </c>
      <c r="F25" s="4">
        <f t="shared" si="19"/>
        <v>0</v>
      </c>
      <c r="G25" s="4">
        <f>IF(Resumen!$B$14="Código",IF(A25&lt;DATE(2021,7,1),(Resumen!$B$7*0.25%)*DATEDIF("1/1/2009",A25,"y"),IF(Resumen!$B$9="Sí",(((B25*0.03)+(VLOOKUP(YEAR(A25),Resumen!$O$7:$P$12,2,0)*0.05))*DATEDIF(MAX("1/5/2008",Resumen!$B$6),A25,"y")),(((B25*0.03)+(VLOOKUP(YEAR(A25),Resumen!$O$7:$P$12,2,0)*0.05))*DATEDIF(Resumen!$B$6,A25,"y")))),IF(A25&lt;DATE(2022,3,1),(Resumen!$B$7*0.25%)*DATEDIF("1/1/2009",A25,"y"),IF(Resumen!$B$9="Sí",(((B25*0.03)+(VLOOKUP(YEAR(A25),Resumen!$O$7:$P$12,2,0)*0.05))*DATEDIF(MAX("1/5/2008",Resumen!$B$6),A25,"y")),(((B25*0.03)+(VLOOKUP(YEAR(A25),Resumen!$O$7:$P$12,2,0)*0.05))*DATEDIF(Resumen!$B$6,A25,"y")))))</f>
        <v>30.300000000000004</v>
      </c>
      <c r="H25" s="4">
        <f t="shared" si="20"/>
        <v>103.53</v>
      </c>
      <c r="I25" s="4">
        <f t="shared" si="21"/>
        <v>103.48</v>
      </c>
      <c r="J25" s="1">
        <f>IF(Resumen!$B$14="Código",IF(A25&lt;DATE(2021,7,1),0,(0.03*(VLOOKUP(YEAR(A25),Resumen!$O$7:$P$12,2,0))*Resumen!$B$8)),IF(A25&lt;DATE(2022,3,1),0,(0.03*(VLOOKUP(YEAR(A25),Resumen!$O$7:$P$12,2,0))*Resumen!$B$8)))</f>
        <v>0</v>
      </c>
      <c r="K25" s="1">
        <f>IF(Resumen!$B$14="Código",IF(A25&lt;DATE(2021,7,1),0,50),IF(A25&lt;DATE(2022,3,1),0,50))</f>
        <v>0</v>
      </c>
      <c r="L25" s="1">
        <v>0</v>
      </c>
      <c r="M25" s="1">
        <v>0</v>
      </c>
      <c r="N25" s="1">
        <v>0</v>
      </c>
      <c r="O25" s="1">
        <v>0</v>
      </c>
      <c r="P25" s="1">
        <f>IF(Resumen!$B$14="Código",(B25+E25+F25+G25)*9.45%*-1,(B25+E25+F25+G25)*11.45%*-1)</f>
        <v>-142.24334999999999</v>
      </c>
      <c r="Q25" s="3"/>
      <c r="R25" s="9">
        <f t="shared" si="27"/>
        <v>1412</v>
      </c>
      <c r="S25" s="4">
        <f t="shared" si="22"/>
        <v>0</v>
      </c>
      <c r="T25" s="4">
        <f t="shared" si="23"/>
        <v>0</v>
      </c>
      <c r="U25" s="4">
        <f t="shared" si="24"/>
        <v>117.67</v>
      </c>
      <c r="V25" s="4">
        <f t="shared" si="25"/>
        <v>117.62</v>
      </c>
      <c r="W25" s="4">
        <f>(0.03*(VLOOKUP(YEAR(A25),Resumen!$O$7:$P$12,2,0))*Resumen!$B$8)</f>
        <v>23.64</v>
      </c>
      <c r="X25" s="4">
        <f>IF(Resumen!$B$9="Sí",(((R25*0.03)+(VLOOKUP(YEAR(A25),Resumen!$O$7:$P$12,2,0)*0.05))*DATEDIF(MAX("1/5/2008",Resumen!$B$6),A25,"y")),(((R25*0.03)+(VLOOKUP(YEAR(A25),Resumen!$O$7:$P$12,2,0)*0.05))*DATEDIF(Resumen!$B$6,A25,"y")))</f>
        <v>558.54</v>
      </c>
      <c r="Y25" s="3">
        <v>50</v>
      </c>
      <c r="Z25" s="1">
        <f>IF(Resumen!$B$9="Sí",IF(DATEDIF("1/5/2008",A25,"M")/12=5,R25/2,IF(DATEDIF("1/5/2008",A25,"M")/12=10,R25,IF(DATEDIF("1/5/2008",A25,"M")/12=15,R25*1.5,IF(DATEDIF("1/5/2008",A25,"M")/12=20,R25*2,0)))),IF(DATEDIF(Resumen!$B$6,A25,"M")/12=5,R25/2,IF(DATEDIF(Resumen!$B$6,A25,"M")/12=10,R25,IF(DATEDIF(Resumen!$B$6,A25,"M")/12=15,R25*1.5,IF(DATEDIF(Resumen!$B$6,A25,"M")/12=20,R25*2,IF(DATEDIF(Resumen!$B$6,A25,"M")/12=25,R25*2.5,IF(DATEDIF(Resumen!$B$6,A25,"M")/12=30,R25*3)))))))</f>
        <v>0</v>
      </c>
      <c r="AA25" s="19">
        <f>(IF(Resumen!$B$20="Sí",IF(Resumen!$C$20&lt;=A25,IF(DATEDIF(Resumen!$C$20,A25,"Y")&lt;8,VLOOKUP(YEAR(A25),Resumen!$O$7:$P$12,2,0),0),0),0))+(IF(Resumen!$B$21="Sí",IF(Resumen!$C$21&lt;=A25,IF(DATEDIF(Resumen!$C$21,A25,"Y")&lt;8,VLOOKUP(YEAR(A25),Resumen!$O$7:$P$12,2,0),0),0),0))</f>
        <v>0</v>
      </c>
      <c r="AB25" s="1">
        <f>IF(MONTH(A25)=12,VLOOKUP(YEAR(A25),Resumen!$O$7:$P$12,2,0),0)</f>
        <v>0</v>
      </c>
      <c r="AC25" s="1">
        <f t="shared" si="0"/>
        <v>0</v>
      </c>
      <c r="AD25" s="19">
        <f>(IF(Resumen!$B$25="Sí",IF(DATE(YEAR(Resumen!$C$25),MONTH(Resumen!$C$25),1)=A25,1000,0)+(IF(Resumen!$B$26="Sí",IF(DATE(YEAR(Resumen!$C$26),MONTH(Resumen!$C$26),1)=A25,1000,0),0)),0))</f>
        <v>0</v>
      </c>
      <c r="AE25" s="1">
        <v>0</v>
      </c>
      <c r="AF25" s="1">
        <v>0</v>
      </c>
      <c r="AG25" s="19">
        <v>130</v>
      </c>
      <c r="AH25" s="1">
        <v>0</v>
      </c>
      <c r="AI25" s="19">
        <f>IF(MONTH(A25)=12,IF(Resumen!$B$9="Sí",(15+DATEDIF("1/5/2008",A25,"y")-5)*50,(15+DATEDIF(Resumen!$B$6,A25,"y")-5)*50),0)</f>
        <v>0</v>
      </c>
      <c r="AJ25" s="5">
        <f>IF(Resumen!$B$13="No",IF(Resumen!$B$12="No",20,100),0)</f>
        <v>20</v>
      </c>
      <c r="AK25" s="1">
        <f>IF(Resumen!$B$14="Código",(R25+S25+T25+X25)*9.45%*-1,(R25+S25+T25+X25)*11.45%*-1)</f>
        <v>-225.62682999999998</v>
      </c>
      <c r="AM25" s="3">
        <f t="shared" si="1"/>
        <v>200</v>
      </c>
      <c r="AN25" s="4">
        <f t="shared" si="2"/>
        <v>0</v>
      </c>
      <c r="AO25" s="4">
        <f t="shared" si="3"/>
        <v>0</v>
      </c>
      <c r="AP25" s="4">
        <f t="shared" si="4"/>
        <v>14.14</v>
      </c>
      <c r="AQ25" s="4">
        <f t="shared" si="5"/>
        <v>14.14</v>
      </c>
      <c r="AR25" s="4">
        <f t="shared" si="6"/>
        <v>528.24</v>
      </c>
      <c r="AS25" s="4">
        <f t="shared" si="7"/>
        <v>23.64</v>
      </c>
      <c r="AT25" s="4">
        <f t="shared" si="8"/>
        <v>50</v>
      </c>
      <c r="AU25" s="6">
        <f t="shared" si="9"/>
        <v>0</v>
      </c>
      <c r="AV25" s="6">
        <f t="shared" si="10"/>
        <v>0</v>
      </c>
      <c r="AW25" s="6">
        <f t="shared" si="11"/>
        <v>0</v>
      </c>
      <c r="AX25" s="6">
        <f t="shared" si="12"/>
        <v>20</v>
      </c>
      <c r="AY25" s="6">
        <f t="shared" si="13"/>
        <v>0</v>
      </c>
      <c r="AZ25" s="6">
        <f t="shared" si="14"/>
        <v>0</v>
      </c>
      <c r="BA25" s="6">
        <f t="shared" si="15"/>
        <v>0</v>
      </c>
      <c r="BB25" s="6">
        <f t="shared" si="16"/>
        <v>-83.383479999999992</v>
      </c>
      <c r="BD25" s="3">
        <f t="shared" si="17"/>
        <v>766.77652</v>
      </c>
      <c r="BE25" s="3">
        <v>0</v>
      </c>
    </row>
    <row r="26" spans="1:57" x14ac:dyDescent="0.25">
      <c r="A26" s="7">
        <v>43800</v>
      </c>
      <c r="B26" s="9">
        <f>IF(Resumen!$B$14="Código",IF(A26&lt;DATE(2021,7,1),Resumen!$B$7,Resumen!$B$7+300),IF(A26&lt;DATE(2022,3,1),Resumen!$B$7,Resumen!$B$7+300))</f>
        <v>1212</v>
      </c>
      <c r="C26" s="76">
        <f>Detalle!C26</f>
        <v>0</v>
      </c>
      <c r="D26" s="76">
        <f>Detalle!D26</f>
        <v>0</v>
      </c>
      <c r="E26" s="4">
        <f t="shared" si="18"/>
        <v>0</v>
      </c>
      <c r="F26" s="4">
        <f t="shared" si="19"/>
        <v>0</v>
      </c>
      <c r="G26" s="4">
        <f>IF(Resumen!$B$14="Código",IF(A26&lt;DATE(2021,7,1),(Resumen!$B$7*0.25%)*DATEDIF("1/1/2009",A26,"y"),IF(Resumen!$B$9="Sí",(((B26*0.03)+(VLOOKUP(YEAR(A26),Resumen!$O$7:$P$12,2,0)*0.05))*DATEDIF(MAX("1/5/2008",Resumen!$B$6),A26,"y")),(((B26*0.03)+(VLOOKUP(YEAR(A26),Resumen!$O$7:$P$12,2,0)*0.05))*DATEDIF(Resumen!$B$6,A26,"y")))),IF(A26&lt;DATE(2022,3,1),(Resumen!$B$7*0.25%)*DATEDIF("1/1/2009",A26,"y"),IF(Resumen!$B$9="Sí",(((B26*0.03)+(VLOOKUP(YEAR(A26),Resumen!$O$7:$P$12,2,0)*0.05))*DATEDIF(MAX("1/5/2008",Resumen!$B$6),A26,"y")),(((B26*0.03)+(VLOOKUP(YEAR(A26),Resumen!$O$7:$P$12,2,0)*0.05))*DATEDIF(Resumen!$B$6,A26,"y")))))</f>
        <v>30.300000000000004</v>
      </c>
      <c r="H26" s="4">
        <f t="shared" si="20"/>
        <v>103.53</v>
      </c>
      <c r="I26" s="4">
        <f t="shared" si="21"/>
        <v>103.48</v>
      </c>
      <c r="J26" s="1">
        <f>IF(Resumen!$B$14="Código",IF(A26&lt;DATE(2021,7,1),0,(0.03*(VLOOKUP(YEAR(A26),Resumen!$O$7:$P$12,2,0))*Resumen!$B$8)),IF(A26&lt;DATE(2022,3,1),0,(0.03*(VLOOKUP(YEAR(A26),Resumen!$O$7:$P$12,2,0))*Resumen!$B$8)))</f>
        <v>0</v>
      </c>
      <c r="K26" s="1">
        <f>IF(Resumen!$B$14="Código",IF(A26&lt;DATE(2021,7,1),0,50),IF(A26&lt;DATE(2022,3,1),0,50))</f>
        <v>0</v>
      </c>
      <c r="L26" s="1">
        <v>0</v>
      </c>
      <c r="M26" s="1">
        <v>0</v>
      </c>
      <c r="N26" s="1">
        <v>0</v>
      </c>
      <c r="O26" s="1">
        <v>0</v>
      </c>
      <c r="P26" s="1">
        <f>IF(Resumen!$B$14="Código",(B26+E26+F26+G26)*9.45%*-1,(B26+E26+F26+G26)*11.45%*-1)</f>
        <v>-142.24334999999999</v>
      </c>
      <c r="Q26" s="3"/>
      <c r="R26" s="9">
        <f t="shared" si="27"/>
        <v>1412</v>
      </c>
      <c r="S26" s="4">
        <f t="shared" si="22"/>
        <v>0</v>
      </c>
      <c r="T26" s="4">
        <f t="shared" si="23"/>
        <v>0</v>
      </c>
      <c r="U26" s="4">
        <f t="shared" si="24"/>
        <v>117.67</v>
      </c>
      <c r="V26" s="4">
        <f t="shared" si="25"/>
        <v>117.62</v>
      </c>
      <c r="W26" s="4">
        <f>(0.03*(VLOOKUP(YEAR(A26),Resumen!$O$7:$P$12,2,0))*Resumen!$B$8)</f>
        <v>23.64</v>
      </c>
      <c r="X26" s="4">
        <f>IF(Resumen!$B$9="Sí",(((R26*0.03)+(VLOOKUP(YEAR(A26),Resumen!$O$7:$P$12,2,0)*0.05))*DATEDIF(MAX("1/5/2008",Resumen!$B$6),A26,"y")),(((R26*0.03)+(VLOOKUP(YEAR(A26),Resumen!$O$7:$P$12,2,0)*0.05))*DATEDIF(Resumen!$B$6,A26,"y")))</f>
        <v>558.54</v>
      </c>
      <c r="Y26" s="3">
        <v>50</v>
      </c>
      <c r="Z26" s="1">
        <f>IF(Resumen!$B$9="Sí",IF(DATEDIF("1/5/2008",A26,"M")/12=5,R26/2,IF(DATEDIF("1/5/2008",A26,"M")/12=10,R26,IF(DATEDIF("1/5/2008",A26,"M")/12=15,R26*1.5,IF(DATEDIF("1/5/2008",A26,"M")/12=20,R26*2,0)))),IF(DATEDIF(Resumen!$B$6,A26,"M")/12=5,R26/2,IF(DATEDIF(Resumen!$B$6,A26,"M")/12=10,R26,IF(DATEDIF(Resumen!$B$6,A26,"M")/12=15,R26*1.5,IF(DATEDIF(Resumen!$B$6,A26,"M")/12=20,R26*2,IF(DATEDIF(Resumen!$B$6,A26,"M")/12=25,R26*2.5,IF(DATEDIF(Resumen!$B$6,A26,"M")/12=30,R26*3)))))))</f>
        <v>0</v>
      </c>
      <c r="AA26" s="19">
        <f>(IF(Resumen!$B$20="Sí",IF(Resumen!$C$20&lt;=A26,IF(DATEDIF(Resumen!$C$20,A26,"Y")&lt;8,VLOOKUP(YEAR(A26),Resumen!$O$7:$P$12,2,0),0),0),0))+(IF(Resumen!$B$21="Sí",IF(Resumen!$C$21&lt;=A26,IF(DATEDIF(Resumen!$C$21,A26,"Y")&lt;8,VLOOKUP(YEAR(A26),Resumen!$O$7:$P$12,2,0),0),0),0))</f>
        <v>0</v>
      </c>
      <c r="AB26" s="1">
        <f>IF(MONTH(A26)=12,VLOOKUP(YEAR(A26),Resumen!$O$7:$P$12,2,0),0)</f>
        <v>394</v>
      </c>
      <c r="AC26" s="1">
        <f t="shared" si="0"/>
        <v>100</v>
      </c>
      <c r="AD26" s="19">
        <f>(IF(Resumen!$B$25="Sí",IF(DATE(YEAR(Resumen!$C$25),MONTH(Resumen!$C$25),1)=A26,1000,0)+(IF(Resumen!$B$26="Sí",IF(DATE(YEAR(Resumen!$C$26),MONTH(Resumen!$C$26),1)=A26,1000,0),0)),0))</f>
        <v>0</v>
      </c>
      <c r="AE26" s="1">
        <v>0</v>
      </c>
      <c r="AF26" s="1">
        <v>0</v>
      </c>
      <c r="AG26" s="19">
        <v>130</v>
      </c>
      <c r="AH26" s="1">
        <v>0</v>
      </c>
      <c r="AI26" s="19">
        <f>IF(MONTH(A26)=12,IF(Resumen!$B$9="Sí",(15+DATEDIF("1/5/2008",A26,"y")-5)*50,(15+DATEDIF(Resumen!$B$6,A26,"y")-5)*50),0)</f>
        <v>1050</v>
      </c>
      <c r="AJ26" s="5">
        <f>IF(Resumen!$B$13="No",IF(Resumen!$B$12="No",20,100),0)</f>
        <v>20</v>
      </c>
      <c r="AK26" s="1">
        <f>IF(Resumen!$B$14="Código",(R26+S26+T26+X26)*9.45%*-1,(R26+S26+T26+X26)*11.45%*-1)</f>
        <v>-225.62682999999998</v>
      </c>
      <c r="AM26" s="3">
        <f t="shared" si="1"/>
        <v>200</v>
      </c>
      <c r="AN26" s="4">
        <f t="shared" si="2"/>
        <v>0</v>
      </c>
      <c r="AO26" s="4">
        <f t="shared" si="3"/>
        <v>0</v>
      </c>
      <c r="AP26" s="4">
        <f t="shared" si="4"/>
        <v>14.14</v>
      </c>
      <c r="AQ26" s="4">
        <f t="shared" si="5"/>
        <v>14.14</v>
      </c>
      <c r="AR26" s="4">
        <f t="shared" si="6"/>
        <v>528.24</v>
      </c>
      <c r="AS26" s="4">
        <f t="shared" si="7"/>
        <v>23.64</v>
      </c>
      <c r="AT26" s="4">
        <f t="shared" si="8"/>
        <v>50</v>
      </c>
      <c r="AU26" s="6">
        <f t="shared" si="9"/>
        <v>394</v>
      </c>
      <c r="AV26" s="6">
        <f t="shared" si="10"/>
        <v>100</v>
      </c>
      <c r="AW26" s="6">
        <f t="shared" si="11"/>
        <v>0</v>
      </c>
      <c r="AX26" s="6">
        <f t="shared" si="12"/>
        <v>20</v>
      </c>
      <c r="AY26" s="6">
        <f t="shared" si="13"/>
        <v>0</v>
      </c>
      <c r="AZ26" s="6">
        <f t="shared" si="14"/>
        <v>0</v>
      </c>
      <c r="BA26" s="6">
        <f t="shared" si="15"/>
        <v>1050</v>
      </c>
      <c r="BB26" s="6">
        <f t="shared" si="16"/>
        <v>-83.383479999999992</v>
      </c>
      <c r="BD26" s="3">
        <f t="shared" si="17"/>
        <v>2310.7765199999999</v>
      </c>
      <c r="BE26" s="3">
        <v>0</v>
      </c>
    </row>
    <row r="27" spans="1:57" x14ac:dyDescent="0.25">
      <c r="A27" s="7">
        <v>43831</v>
      </c>
      <c r="B27" s="9">
        <f>IF(Resumen!$B$14="Código",IF(A27&lt;DATE(2021,7,1),Resumen!$B$7,Resumen!$B$7+300),IF(A27&lt;DATE(2022,3,1),Resumen!$B$7,Resumen!$B$7+300))</f>
        <v>1212</v>
      </c>
      <c r="C27" s="76">
        <f>Detalle!C27</f>
        <v>0</v>
      </c>
      <c r="D27" s="76">
        <f>Detalle!D27</f>
        <v>0</v>
      </c>
      <c r="E27" s="4">
        <f t="shared" si="18"/>
        <v>0</v>
      </c>
      <c r="F27" s="4">
        <f t="shared" si="19"/>
        <v>0</v>
      </c>
      <c r="G27" s="4">
        <f>IF(Resumen!$B$14="Código",IF(A27&lt;DATE(2021,7,1),(Resumen!$B$7*0.25%)*DATEDIF("1/1/2009",A27,"y"),IF(Resumen!$B$9="Sí",(((B27*0.03)+(VLOOKUP(YEAR(A27),Resumen!$O$7:$P$12,2,0)*0.05))*DATEDIF(MAX("1/5/2008",Resumen!$B$6),A27,"y")),(((B27*0.03)+(VLOOKUP(YEAR(A27),Resumen!$O$7:$P$12,2,0)*0.05))*DATEDIF(Resumen!$B$6,A27,"y")))),IF(A27&lt;DATE(2022,3,1),(Resumen!$B$7*0.25%)*DATEDIF("1/1/2009",A27,"y"),IF(Resumen!$B$9="Sí",(((B27*0.03)+(VLOOKUP(YEAR(A27),Resumen!$O$7:$P$12,2,0)*0.05))*DATEDIF(MAX("1/5/2008",Resumen!$B$6),A27,"y")),(((B27*0.03)+(VLOOKUP(YEAR(A27),Resumen!$O$7:$P$12,2,0)*0.05))*DATEDIF(Resumen!$B$6,A27,"y")))))</f>
        <v>33.330000000000005</v>
      </c>
      <c r="H27" s="4">
        <f t="shared" si="20"/>
        <v>103.78</v>
      </c>
      <c r="I27" s="4">
        <f t="shared" si="21"/>
        <v>103.74</v>
      </c>
      <c r="J27" s="1">
        <f>IF(Resumen!$B$14="Código",IF(A27&lt;DATE(2021,7,1),0,(0.03*(VLOOKUP(YEAR(A27),Resumen!$O$7:$P$12,2,0))*Resumen!$B$8)),IF(A27&lt;DATE(2022,3,1),0,(0.03*(VLOOKUP(YEAR(A27),Resumen!$O$7:$P$12,2,0))*Resumen!$B$8)))</f>
        <v>0</v>
      </c>
      <c r="K27" s="1">
        <f>IF(Resumen!$B$14="Código",IF(A27&lt;DATE(2021,7,1),0,50),IF(A27&lt;DATE(2022,3,1),0,50))</f>
        <v>0</v>
      </c>
      <c r="L27" s="1">
        <v>0</v>
      </c>
      <c r="M27" s="1">
        <v>0</v>
      </c>
      <c r="N27" s="1">
        <v>0</v>
      </c>
      <c r="O27" s="1">
        <v>0</v>
      </c>
      <c r="P27" s="1">
        <f>IF(Resumen!$B$14="Código",(B27+E27+F27+G27)*9.45%*-1,(B27+E27+F27+G27)*11.45%*-1)</f>
        <v>-142.59028499999997</v>
      </c>
      <c r="Q27" s="3"/>
      <c r="R27" s="9">
        <f>R26+100</f>
        <v>1512</v>
      </c>
      <c r="S27" s="4">
        <f t="shared" si="22"/>
        <v>0</v>
      </c>
      <c r="T27" s="4">
        <f t="shared" si="23"/>
        <v>0</v>
      </c>
      <c r="U27" s="4">
        <f t="shared" si="24"/>
        <v>126</v>
      </c>
      <c r="V27" s="4">
        <f t="shared" si="25"/>
        <v>125.95</v>
      </c>
      <c r="W27" s="4">
        <f>(0.03*(VLOOKUP(YEAR(A27),Resumen!$O$7:$P$12,2,0))*Resumen!$B$8)</f>
        <v>24</v>
      </c>
      <c r="X27" s="4">
        <f>IF(Resumen!$B$9="Sí",(((R27*0.03)+(VLOOKUP(YEAR(A27),Resumen!$O$7:$P$12,2,0)*0.05))*DATEDIF(MAX("1/5/2008",Resumen!$B$6),A27,"y")),(((R27*0.03)+(VLOOKUP(YEAR(A27),Resumen!$O$7:$P$12,2,0)*0.05))*DATEDIF(Resumen!$B$6,A27,"y")))</f>
        <v>588.24</v>
      </c>
      <c r="Y27" s="3">
        <v>50</v>
      </c>
      <c r="Z27" s="1">
        <f>IF(Resumen!$B$9="Sí",IF(DATEDIF("1/5/2008",A27,"M")/12=5,R27/2,IF(DATEDIF("1/5/2008",A27,"M")/12=10,R27,IF(DATEDIF("1/5/2008",A27,"M")/12=15,R27*1.5,IF(DATEDIF("1/5/2008",A27,"M")/12=20,R27*2,0)))),IF(DATEDIF(Resumen!$B$6,A27,"M")/12=5,R27/2,IF(DATEDIF(Resumen!$B$6,A27,"M")/12=10,R27,IF(DATEDIF(Resumen!$B$6,A27,"M")/12=15,R27*1.5,IF(DATEDIF(Resumen!$B$6,A27,"M")/12=20,R27*2,IF(DATEDIF(Resumen!$B$6,A27,"M")/12=25,R27*2.5,IF(DATEDIF(Resumen!$B$6,A27,"M")/12=30,R27*3)))))))</f>
        <v>0</v>
      </c>
      <c r="AA27" s="19">
        <f>(IF(Resumen!$B$20="Sí",IF(Resumen!$C$20&lt;=A27,IF(DATEDIF(Resumen!$C$20,A27,"Y")&lt;8,VLOOKUP(YEAR(A27),Resumen!$O$7:$P$12,2,0),0),0),0))+(IF(Resumen!$B$21="Sí",IF(Resumen!$C$21&lt;=A27,IF(DATEDIF(Resumen!$C$21,A27,"Y")&lt;8,VLOOKUP(YEAR(A27),Resumen!$O$7:$P$12,2,0),0),0),0))</f>
        <v>0</v>
      </c>
      <c r="AB27" s="1">
        <f>IF(MONTH(A27)=12,VLOOKUP(YEAR(A27),Resumen!$O$7:$P$12,2,0),0)</f>
        <v>0</v>
      </c>
      <c r="AC27" s="1">
        <f t="shared" si="0"/>
        <v>0</v>
      </c>
      <c r="AD27" s="19">
        <f>(IF(Resumen!$B$25="Sí",IF(DATE(YEAR(Resumen!$C$25),MONTH(Resumen!$C$25),1)=A27,1000,0)+(IF(Resumen!$B$26="Sí",IF(DATE(YEAR(Resumen!$C$26),MONTH(Resumen!$C$26),1)=A27,1000,0),0)),0))</f>
        <v>0</v>
      </c>
      <c r="AE27" s="1">
        <v>0</v>
      </c>
      <c r="AF27" s="1">
        <v>0</v>
      </c>
      <c r="AG27" s="19">
        <v>130</v>
      </c>
      <c r="AH27" s="1">
        <v>0</v>
      </c>
      <c r="AI27" s="19">
        <f>IF(MONTH(A27)=12,IF(Resumen!$B$9="Sí",(15+DATEDIF("1/5/2008",A27,"y")-5)*50,(15+DATEDIF(Resumen!$B$6,A27,"y")-5)*50),0)</f>
        <v>0</v>
      </c>
      <c r="AJ27" s="5">
        <f>IF(Resumen!$B$13="No",IF(Resumen!$B$12="No",20,100),0)</f>
        <v>20</v>
      </c>
      <c r="AK27" s="1">
        <f>IF(Resumen!$B$14="Código",(R27+S27+T27+X27)*9.45%*-1,(R27+S27+T27+X27)*11.45%*-1)</f>
        <v>-240.47747999999996</v>
      </c>
      <c r="AM27" s="3">
        <f t="shared" si="1"/>
        <v>300</v>
      </c>
      <c r="AN27" s="4">
        <f t="shared" si="2"/>
        <v>0</v>
      </c>
      <c r="AO27" s="4">
        <f t="shared" si="3"/>
        <v>0</v>
      </c>
      <c r="AP27" s="4">
        <f t="shared" si="4"/>
        <v>22.22</v>
      </c>
      <c r="AQ27" s="4">
        <f t="shared" si="5"/>
        <v>22.210000000000008</v>
      </c>
      <c r="AR27" s="4">
        <f t="shared" si="6"/>
        <v>554.91</v>
      </c>
      <c r="AS27" s="4">
        <f t="shared" si="7"/>
        <v>24</v>
      </c>
      <c r="AT27" s="4">
        <f t="shared" si="8"/>
        <v>50</v>
      </c>
      <c r="AU27" s="6">
        <f t="shared" si="9"/>
        <v>0</v>
      </c>
      <c r="AV27" s="6">
        <f t="shared" si="10"/>
        <v>0</v>
      </c>
      <c r="AW27" s="6">
        <f t="shared" si="11"/>
        <v>0</v>
      </c>
      <c r="AX27" s="6">
        <f t="shared" si="12"/>
        <v>20</v>
      </c>
      <c r="AY27" s="6">
        <f t="shared" si="13"/>
        <v>0</v>
      </c>
      <c r="AZ27" s="6">
        <f t="shared" si="14"/>
        <v>0</v>
      </c>
      <c r="BA27" s="6">
        <f t="shared" si="15"/>
        <v>0</v>
      </c>
      <c r="BB27" s="6">
        <f t="shared" si="16"/>
        <v>-97.887194999999991</v>
      </c>
      <c r="BD27" s="3">
        <f t="shared" si="17"/>
        <v>895.45280500000001</v>
      </c>
      <c r="BE27" s="3">
        <v>0</v>
      </c>
    </row>
    <row r="28" spans="1:57" x14ac:dyDescent="0.25">
      <c r="A28" s="7">
        <v>43862</v>
      </c>
      <c r="B28" s="9">
        <f>IF(Resumen!$B$14="Código",IF(A28&lt;DATE(2021,7,1),Resumen!$B$7,Resumen!$B$7+300),IF(A28&lt;DATE(2022,3,1),Resumen!$B$7,Resumen!$B$7+300))</f>
        <v>1212</v>
      </c>
      <c r="C28" s="76">
        <f>Detalle!C28</f>
        <v>0</v>
      </c>
      <c r="D28" s="76">
        <f>Detalle!D28</f>
        <v>0</v>
      </c>
      <c r="E28" s="4">
        <f t="shared" si="18"/>
        <v>0</v>
      </c>
      <c r="F28" s="4">
        <f t="shared" si="19"/>
        <v>0</v>
      </c>
      <c r="G28" s="4">
        <f>IF(Resumen!$B$14="Código",IF(A28&lt;DATE(2021,7,1),(Resumen!$B$7*0.25%)*DATEDIF("1/1/2009",A28,"y"),IF(Resumen!$B$9="Sí",(((B28*0.03)+(VLOOKUP(YEAR(A28),Resumen!$O$7:$P$12,2,0)*0.05))*DATEDIF(MAX("1/5/2008",Resumen!$B$6),A28,"y")),(((B28*0.03)+(VLOOKUP(YEAR(A28),Resumen!$O$7:$P$12,2,0)*0.05))*DATEDIF(Resumen!$B$6,A28,"y")))),IF(A28&lt;DATE(2022,3,1),(Resumen!$B$7*0.25%)*DATEDIF("1/1/2009",A28,"y"),IF(Resumen!$B$9="Sí",(((B28*0.03)+(VLOOKUP(YEAR(A28),Resumen!$O$7:$P$12,2,0)*0.05))*DATEDIF(MAX("1/5/2008",Resumen!$B$6),A28,"y")),(((B28*0.03)+(VLOOKUP(YEAR(A28),Resumen!$O$7:$P$12,2,0)*0.05))*DATEDIF(Resumen!$B$6,A28,"y")))))</f>
        <v>33.330000000000005</v>
      </c>
      <c r="H28" s="4">
        <f t="shared" si="20"/>
        <v>103.78</v>
      </c>
      <c r="I28" s="4">
        <f t="shared" si="21"/>
        <v>103.74</v>
      </c>
      <c r="J28" s="1">
        <f>IF(Resumen!$B$14="Código",IF(A28&lt;DATE(2021,7,1),0,(0.03*(VLOOKUP(YEAR(A28),Resumen!$O$7:$P$12,2,0))*Resumen!$B$8)),IF(A28&lt;DATE(2022,3,1),0,(0.03*(VLOOKUP(YEAR(A28),Resumen!$O$7:$P$12,2,0))*Resumen!$B$8)))</f>
        <v>0</v>
      </c>
      <c r="K28" s="1">
        <f>IF(Resumen!$B$14="Código",IF(A28&lt;DATE(2021,7,1),0,50),IF(A28&lt;DATE(2022,3,1),0,50))</f>
        <v>0</v>
      </c>
      <c r="L28" s="1">
        <v>0</v>
      </c>
      <c r="M28" s="1">
        <v>0</v>
      </c>
      <c r="N28" s="1">
        <v>0</v>
      </c>
      <c r="O28" s="1">
        <v>0</v>
      </c>
      <c r="P28" s="1">
        <f>IF(Resumen!$B$14="Código",(B28+E28+F28+G28)*9.45%*-1,(B28+E28+F28+G28)*11.45%*-1)</f>
        <v>-142.59028499999997</v>
      </c>
      <c r="Q28" s="3"/>
      <c r="R28" s="9">
        <f t="shared" si="27"/>
        <v>1512</v>
      </c>
      <c r="S28" s="4">
        <f t="shared" si="22"/>
        <v>0</v>
      </c>
      <c r="T28" s="4">
        <f t="shared" si="23"/>
        <v>0</v>
      </c>
      <c r="U28" s="4">
        <f t="shared" si="24"/>
        <v>126</v>
      </c>
      <c r="V28" s="4">
        <f t="shared" si="25"/>
        <v>125.95</v>
      </c>
      <c r="W28" s="4">
        <f>(0.03*(VLOOKUP(YEAR(A28),Resumen!$O$7:$P$12,2,0))*Resumen!$B$8)</f>
        <v>24</v>
      </c>
      <c r="X28" s="4">
        <f>IF(Resumen!$B$9="Sí",(((R28*0.03)+(VLOOKUP(YEAR(A28),Resumen!$O$7:$P$12,2,0)*0.05))*DATEDIF(MAX("1/5/2008",Resumen!$B$6),A28,"y")),(((R28*0.03)+(VLOOKUP(YEAR(A28),Resumen!$O$7:$P$12,2,0)*0.05))*DATEDIF(Resumen!$B$6,A28,"y")))</f>
        <v>653.6</v>
      </c>
      <c r="Y28" s="3">
        <v>50</v>
      </c>
      <c r="Z28" s="1">
        <f>IF(Resumen!$B$9="Sí",IF(DATEDIF("1/5/2008",A28,"M")/12=5,R28/2,IF(DATEDIF("1/5/2008",A28,"M")/12=10,R28,IF(DATEDIF("1/5/2008",A28,"M")/12=15,R28*1.5,IF(DATEDIF("1/5/2008",A28,"M")/12=20,R28*2,0)))),IF(DATEDIF(Resumen!$B$6,A28,"M")/12=5,R28/2,IF(DATEDIF(Resumen!$B$6,A28,"M")/12=10,R28,IF(DATEDIF(Resumen!$B$6,A28,"M")/12=15,R28*1.5,IF(DATEDIF(Resumen!$B$6,A28,"M")/12=20,R28*2,IF(DATEDIF(Resumen!$B$6,A28,"M")/12=25,R28*2.5,IF(DATEDIF(Resumen!$B$6,A28,"M")/12=30,R28*3)))))))</f>
        <v>0</v>
      </c>
      <c r="AA28" s="19">
        <f>(IF(Resumen!$B$20="Sí",IF(Resumen!$C$20&lt;=A28,IF(DATEDIF(Resumen!$C$20,A28,"Y")&lt;8,VLOOKUP(YEAR(A28),Resumen!$O$7:$P$12,2,0),0),0),0))+(IF(Resumen!$B$21="Sí",IF(Resumen!$C$21&lt;=A28,IF(DATEDIF(Resumen!$C$21,A28,"Y")&lt;8,VLOOKUP(YEAR(A28),Resumen!$O$7:$P$12,2,0),0),0),0))</f>
        <v>0</v>
      </c>
      <c r="AB28" s="1">
        <f>IF(MONTH(A28)=12,VLOOKUP(YEAR(A28),Resumen!$O$7:$P$12,2,0),0)</f>
        <v>0</v>
      </c>
      <c r="AC28" s="1">
        <f t="shared" si="0"/>
        <v>0</v>
      </c>
      <c r="AD28" s="19">
        <f>(IF(Resumen!$B$25="Sí",IF(DATE(YEAR(Resumen!$C$25),MONTH(Resumen!$C$25),1)=A28,1000,0)+(IF(Resumen!$B$26="Sí",IF(DATE(YEAR(Resumen!$C$26),MONTH(Resumen!$C$26),1)=A28,1000,0),0)),0))</f>
        <v>0</v>
      </c>
      <c r="AE28" s="1">
        <v>0</v>
      </c>
      <c r="AF28" s="1">
        <v>0</v>
      </c>
      <c r="AG28" s="19">
        <v>130</v>
      </c>
      <c r="AH28" s="1">
        <v>0</v>
      </c>
      <c r="AI28" s="19">
        <f>IF(MONTH(A28)=12,IF(Resumen!$B$9="Sí",(15+DATEDIF("1/5/2008",A28,"y")-5)*50,(15+DATEDIF(Resumen!$B$6,A28,"y")-5)*50),0)</f>
        <v>0</v>
      </c>
      <c r="AJ28" s="5">
        <f>IF(Resumen!$B$13="No",IF(Resumen!$B$12="No",20,100),0)</f>
        <v>20</v>
      </c>
      <c r="AK28" s="1">
        <f>IF(Resumen!$B$14="Código",(R28+S28+T28+X28)*9.45%*-1,(R28+S28+T28+X28)*11.45%*-1)</f>
        <v>-247.96119999999996</v>
      </c>
      <c r="AM28" s="3">
        <f t="shared" si="1"/>
        <v>300</v>
      </c>
      <c r="AN28" s="4">
        <f t="shared" si="2"/>
        <v>0</v>
      </c>
      <c r="AO28" s="4">
        <f t="shared" si="3"/>
        <v>0</v>
      </c>
      <c r="AP28" s="4">
        <f t="shared" si="4"/>
        <v>22.22</v>
      </c>
      <c r="AQ28" s="4">
        <f t="shared" si="5"/>
        <v>22.210000000000008</v>
      </c>
      <c r="AR28" s="4">
        <f t="shared" si="6"/>
        <v>620.27</v>
      </c>
      <c r="AS28" s="4">
        <f t="shared" si="7"/>
        <v>24</v>
      </c>
      <c r="AT28" s="4">
        <f t="shared" si="8"/>
        <v>50</v>
      </c>
      <c r="AU28" s="6">
        <f t="shared" si="9"/>
        <v>0</v>
      </c>
      <c r="AV28" s="6">
        <f t="shared" si="10"/>
        <v>0</v>
      </c>
      <c r="AW28" s="6">
        <f t="shared" si="11"/>
        <v>0</v>
      </c>
      <c r="AX28" s="6">
        <f t="shared" si="12"/>
        <v>20</v>
      </c>
      <c r="AY28" s="6">
        <f t="shared" si="13"/>
        <v>0</v>
      </c>
      <c r="AZ28" s="6">
        <f t="shared" si="14"/>
        <v>0</v>
      </c>
      <c r="BA28" s="6">
        <f t="shared" si="15"/>
        <v>0</v>
      </c>
      <c r="BB28" s="6">
        <f t="shared" si="16"/>
        <v>-105.370915</v>
      </c>
      <c r="BD28" s="3">
        <f t="shared" si="17"/>
        <v>953.32908500000008</v>
      </c>
      <c r="BE28" s="3">
        <v>0</v>
      </c>
    </row>
    <row r="29" spans="1:57" x14ac:dyDescent="0.25">
      <c r="A29" s="7">
        <v>43891</v>
      </c>
      <c r="B29" s="9">
        <f>IF(Resumen!$B$14="Código",IF(A29&lt;DATE(2021,7,1),Resumen!$B$7,Resumen!$B$7+300),IF(A29&lt;DATE(2022,3,1),Resumen!$B$7,Resumen!$B$7+300))</f>
        <v>1212</v>
      </c>
      <c r="C29" s="76">
        <f>Detalle!C29</f>
        <v>0</v>
      </c>
      <c r="D29" s="76">
        <f>Detalle!D29</f>
        <v>0</v>
      </c>
      <c r="E29" s="4">
        <f t="shared" si="18"/>
        <v>0</v>
      </c>
      <c r="F29" s="4">
        <f t="shared" si="19"/>
        <v>0</v>
      </c>
      <c r="G29" s="4">
        <f>IF(Resumen!$B$14="Código",IF(A29&lt;DATE(2021,7,1),(Resumen!$B$7*0.25%)*DATEDIF("1/1/2009",A29,"y"),IF(Resumen!$B$9="Sí",(((B29*0.03)+(VLOOKUP(YEAR(A29),Resumen!$O$7:$P$12,2,0)*0.05))*DATEDIF(MAX("1/5/2008",Resumen!$B$6),A29,"y")),(((B29*0.03)+(VLOOKUP(YEAR(A29),Resumen!$O$7:$P$12,2,0)*0.05))*DATEDIF(Resumen!$B$6,A29,"y")))),IF(A29&lt;DATE(2022,3,1),(Resumen!$B$7*0.25%)*DATEDIF("1/1/2009",A29,"y"),IF(Resumen!$B$9="Sí",(((B29*0.03)+(VLOOKUP(YEAR(A29),Resumen!$O$7:$P$12,2,0)*0.05))*DATEDIF(MAX("1/5/2008",Resumen!$B$6),A29,"y")),(((B29*0.03)+(VLOOKUP(YEAR(A29),Resumen!$O$7:$P$12,2,0)*0.05))*DATEDIF(Resumen!$B$6,A29,"y")))))</f>
        <v>33.330000000000005</v>
      </c>
      <c r="H29" s="4">
        <f t="shared" si="20"/>
        <v>103.78</v>
      </c>
      <c r="I29" s="4">
        <f t="shared" si="21"/>
        <v>103.74</v>
      </c>
      <c r="J29" s="1">
        <f>IF(Resumen!$B$14="Código",IF(A29&lt;DATE(2021,7,1),0,(0.03*(VLOOKUP(YEAR(A29),Resumen!$O$7:$P$12,2,0))*Resumen!$B$8)),IF(A29&lt;DATE(2022,3,1),0,(0.03*(VLOOKUP(YEAR(A29),Resumen!$O$7:$P$12,2,0))*Resumen!$B$8)))</f>
        <v>0</v>
      </c>
      <c r="K29" s="1">
        <f>IF(Resumen!$B$14="Código",IF(A29&lt;DATE(2021,7,1),0,50),IF(A29&lt;DATE(2022,3,1),0,50))</f>
        <v>0</v>
      </c>
      <c r="L29" s="1">
        <v>0</v>
      </c>
      <c r="M29" s="1">
        <v>0</v>
      </c>
      <c r="N29" s="1">
        <v>0</v>
      </c>
      <c r="O29" s="1">
        <v>0</v>
      </c>
      <c r="P29" s="1">
        <f>IF(Resumen!$B$14="Código",(B29+E29+F29+G29)*9.45%*-1,(B29+E29+F29+G29)*11.45%*-1)</f>
        <v>-142.59028499999997</v>
      </c>
      <c r="Q29" s="3"/>
      <c r="R29" s="9">
        <f t="shared" si="27"/>
        <v>1512</v>
      </c>
      <c r="S29" s="4">
        <f t="shared" si="22"/>
        <v>0</v>
      </c>
      <c r="T29" s="4">
        <f t="shared" si="23"/>
        <v>0</v>
      </c>
      <c r="U29" s="4">
        <f t="shared" si="24"/>
        <v>126</v>
      </c>
      <c r="V29" s="4">
        <f t="shared" si="25"/>
        <v>125.95</v>
      </c>
      <c r="W29" s="4">
        <f>(0.03*(VLOOKUP(YEAR(A29),Resumen!$O$7:$P$12,2,0))*Resumen!$B$8)</f>
        <v>24</v>
      </c>
      <c r="X29" s="4">
        <f>IF(Resumen!$B$9="Sí",(((R29*0.03)+(VLOOKUP(YEAR(A29),Resumen!$O$7:$P$12,2,0)*0.05))*DATEDIF(MAX("1/5/2008",Resumen!$B$6),A29,"y")),(((R29*0.03)+(VLOOKUP(YEAR(A29),Resumen!$O$7:$P$12,2,0)*0.05))*DATEDIF(Resumen!$B$6,A29,"y")))</f>
        <v>653.6</v>
      </c>
      <c r="Y29" s="3">
        <v>50</v>
      </c>
      <c r="Z29" s="1">
        <f>IF(Resumen!$B$9="Sí",IF(DATEDIF("1/5/2008",A29,"M")/12=5,R29/2,IF(DATEDIF("1/5/2008",A29,"M")/12=10,R29,IF(DATEDIF("1/5/2008",A29,"M")/12=15,R29*1.5,IF(DATEDIF("1/5/2008",A29,"M")/12=20,R29*2,0)))),IF(DATEDIF(Resumen!$B$6,A29,"M")/12=5,R29/2,IF(DATEDIF(Resumen!$B$6,A29,"M")/12=10,R29,IF(DATEDIF(Resumen!$B$6,A29,"M")/12=15,R29*1.5,IF(DATEDIF(Resumen!$B$6,A29,"M")/12=20,R29*2,IF(DATEDIF(Resumen!$B$6,A29,"M")/12=25,R29*2.5,IF(DATEDIF(Resumen!$B$6,A29,"M")/12=30,R29*3)))))))</f>
        <v>0</v>
      </c>
      <c r="AA29" s="19">
        <f>(IF(Resumen!$B$20="Sí",IF(Resumen!$C$20&lt;=A29,IF(DATEDIF(Resumen!$C$20,A29,"Y")&lt;8,VLOOKUP(YEAR(A29),Resumen!$O$7:$P$12,2,0),0),0),0))+(IF(Resumen!$B$21="Sí",IF(Resumen!$C$21&lt;=A29,IF(DATEDIF(Resumen!$C$21,A29,"Y")&lt;8,VLOOKUP(YEAR(A29),Resumen!$O$7:$P$12,2,0),0),0),0))</f>
        <v>0</v>
      </c>
      <c r="AB29" s="1">
        <f>IF(MONTH(A29)=12,VLOOKUP(YEAR(A29),Resumen!$O$7:$P$12,2,0),0)</f>
        <v>0</v>
      </c>
      <c r="AC29" s="1">
        <f t="shared" si="0"/>
        <v>0</v>
      </c>
      <c r="AD29" s="19">
        <f>(IF(Resumen!$B$25="Sí",IF(DATE(YEAR(Resumen!$C$25),MONTH(Resumen!$C$25),1)=A29,1000,0)+(IF(Resumen!$B$26="Sí",IF(DATE(YEAR(Resumen!$C$26),MONTH(Resumen!$C$26),1)=A29,1000,0),0)),0))</f>
        <v>0</v>
      </c>
      <c r="AE29" s="1">
        <v>0</v>
      </c>
      <c r="AF29" s="1">
        <v>0</v>
      </c>
      <c r="AG29" s="19">
        <v>130</v>
      </c>
      <c r="AH29" s="1">
        <v>0</v>
      </c>
      <c r="AI29" s="19">
        <f>IF(MONTH(A29)=12,IF(Resumen!$B$9="Sí",(15+DATEDIF("1/5/2008",A29,"y")-5)*50,(15+DATEDIF(Resumen!$B$6,A29,"y")-5)*50),0)</f>
        <v>0</v>
      </c>
      <c r="AJ29" s="5">
        <f>IF(Resumen!$B$13="No",IF(Resumen!$B$12="No",20,100),0)</f>
        <v>20</v>
      </c>
      <c r="AK29" s="1">
        <f>IF(Resumen!$B$14="Código",(R29+S29+T29+X29)*9.45%*-1,(R29+S29+T29+X29)*11.45%*-1)</f>
        <v>-247.96119999999996</v>
      </c>
      <c r="AM29" s="3">
        <f t="shared" si="1"/>
        <v>300</v>
      </c>
      <c r="AN29" s="4">
        <f t="shared" si="2"/>
        <v>0</v>
      </c>
      <c r="AO29" s="4">
        <f t="shared" si="3"/>
        <v>0</v>
      </c>
      <c r="AP29" s="4">
        <f t="shared" si="4"/>
        <v>22.22</v>
      </c>
      <c r="AQ29" s="4">
        <f t="shared" si="5"/>
        <v>22.210000000000008</v>
      </c>
      <c r="AR29" s="4">
        <f t="shared" si="6"/>
        <v>620.27</v>
      </c>
      <c r="AS29" s="4">
        <f t="shared" si="7"/>
        <v>24</v>
      </c>
      <c r="AT29" s="4">
        <f t="shared" si="8"/>
        <v>50</v>
      </c>
      <c r="AU29" s="6">
        <f t="shared" si="9"/>
        <v>0</v>
      </c>
      <c r="AV29" s="6">
        <f t="shared" si="10"/>
        <v>0</v>
      </c>
      <c r="AW29" s="6">
        <f t="shared" si="11"/>
        <v>0</v>
      </c>
      <c r="AX29" s="6">
        <f t="shared" si="12"/>
        <v>20</v>
      </c>
      <c r="AY29" s="6">
        <f t="shared" si="13"/>
        <v>0</v>
      </c>
      <c r="AZ29" s="6">
        <f t="shared" si="14"/>
        <v>0</v>
      </c>
      <c r="BA29" s="6">
        <f t="shared" si="15"/>
        <v>0</v>
      </c>
      <c r="BB29" s="6">
        <f t="shared" si="16"/>
        <v>-105.370915</v>
      </c>
      <c r="BD29" s="3">
        <f t="shared" si="17"/>
        <v>953.32908500000008</v>
      </c>
      <c r="BE29" s="3">
        <v>0</v>
      </c>
    </row>
    <row r="30" spans="1:57" x14ac:dyDescent="0.25">
      <c r="A30" s="7">
        <v>43922</v>
      </c>
      <c r="B30" s="9">
        <f>IF(Resumen!$B$14="Código",IF(A30&lt;DATE(2021,7,1),Resumen!$B$7,Resumen!$B$7+300),IF(A30&lt;DATE(2022,3,1),Resumen!$B$7,Resumen!$B$7+300))</f>
        <v>1212</v>
      </c>
      <c r="C30" s="76">
        <f>Detalle!C30</f>
        <v>0</v>
      </c>
      <c r="D30" s="76">
        <f>Detalle!D30</f>
        <v>0</v>
      </c>
      <c r="E30" s="4">
        <f t="shared" si="18"/>
        <v>0</v>
      </c>
      <c r="F30" s="4">
        <f t="shared" si="19"/>
        <v>0</v>
      </c>
      <c r="G30" s="4">
        <f>IF(Resumen!$B$14="Código",IF(A30&lt;DATE(2021,7,1),(Resumen!$B$7*0.25%)*DATEDIF("1/1/2009",A30,"y"),IF(Resumen!$B$9="Sí",(((B30*0.03)+(VLOOKUP(YEAR(A30),Resumen!$O$7:$P$12,2,0)*0.05))*DATEDIF(MAX("1/5/2008",Resumen!$B$6),A30,"y")),(((B30*0.03)+(VLOOKUP(YEAR(A30),Resumen!$O$7:$P$12,2,0)*0.05))*DATEDIF(Resumen!$B$6,A30,"y")))),IF(A30&lt;DATE(2022,3,1),(Resumen!$B$7*0.25%)*DATEDIF("1/1/2009",A30,"y"),IF(Resumen!$B$9="Sí",(((B30*0.03)+(VLOOKUP(YEAR(A30),Resumen!$O$7:$P$12,2,0)*0.05))*DATEDIF(MAX("1/5/2008",Resumen!$B$6),A30,"y")),(((B30*0.03)+(VLOOKUP(YEAR(A30),Resumen!$O$7:$P$12,2,0)*0.05))*DATEDIF(Resumen!$B$6,A30,"y")))))</f>
        <v>33.330000000000005</v>
      </c>
      <c r="H30" s="4">
        <f t="shared" si="20"/>
        <v>103.78</v>
      </c>
      <c r="I30" s="4">
        <f t="shared" si="21"/>
        <v>103.74</v>
      </c>
      <c r="J30" s="1">
        <f>IF(Resumen!$B$14="Código",IF(A30&lt;DATE(2021,7,1),0,(0.03*(VLOOKUP(YEAR(A30),Resumen!$O$7:$P$12,2,0))*Resumen!$B$8)),IF(A30&lt;DATE(2022,3,1),0,(0.03*(VLOOKUP(YEAR(A30),Resumen!$O$7:$P$12,2,0))*Resumen!$B$8)))</f>
        <v>0</v>
      </c>
      <c r="K30" s="1">
        <f>IF(Resumen!$B$14="Código",IF(A30&lt;DATE(2021,7,1),0,50),IF(A30&lt;DATE(2022,3,1),0,50))</f>
        <v>0</v>
      </c>
      <c r="L30" s="1">
        <v>0</v>
      </c>
      <c r="M30" s="1">
        <v>0</v>
      </c>
      <c r="N30" s="1">
        <v>0</v>
      </c>
      <c r="O30" s="1">
        <v>0</v>
      </c>
      <c r="P30" s="1">
        <f>IF(Resumen!$B$14="Código",(B30+E30+F30+G30)*9.45%*-1,(B30+E30+F30+G30)*11.45%*-1)</f>
        <v>-142.59028499999997</v>
      </c>
      <c r="Q30" s="3"/>
      <c r="R30" s="9">
        <f t="shared" si="27"/>
        <v>1512</v>
      </c>
      <c r="S30" s="4">
        <f t="shared" si="22"/>
        <v>0</v>
      </c>
      <c r="T30" s="4">
        <f t="shared" si="23"/>
        <v>0</v>
      </c>
      <c r="U30" s="4">
        <f t="shared" si="24"/>
        <v>126</v>
      </c>
      <c r="V30" s="4">
        <f t="shared" si="25"/>
        <v>125.95</v>
      </c>
      <c r="W30" s="4">
        <f>(0.03*(VLOOKUP(YEAR(A30),Resumen!$O$7:$P$12,2,0))*Resumen!$B$8)</f>
        <v>24</v>
      </c>
      <c r="X30" s="4">
        <f>IF(Resumen!$B$9="Sí",(((R30*0.03)+(VLOOKUP(YEAR(A30),Resumen!$O$7:$P$12,2,0)*0.05))*DATEDIF(MAX("1/5/2008",Resumen!$B$6),A30,"y")),(((R30*0.03)+(VLOOKUP(YEAR(A30),Resumen!$O$7:$P$12,2,0)*0.05))*DATEDIF(Resumen!$B$6,A30,"y")))</f>
        <v>653.6</v>
      </c>
      <c r="Y30" s="3">
        <v>50</v>
      </c>
      <c r="Z30" s="1">
        <f>IF(Resumen!$B$9="Sí",IF(DATEDIF("1/5/2008",A30,"M")/12=5,R30/2,IF(DATEDIF("1/5/2008",A30,"M")/12=10,R30,IF(DATEDIF("1/5/2008",A30,"M")/12=15,R30*1.5,IF(DATEDIF("1/5/2008",A30,"M")/12=20,R30*2,0)))),IF(DATEDIF(Resumen!$B$6,A30,"M")/12=5,R30/2,IF(DATEDIF(Resumen!$B$6,A30,"M")/12=10,R30,IF(DATEDIF(Resumen!$B$6,A30,"M")/12=15,R30*1.5,IF(DATEDIF(Resumen!$B$6,A30,"M")/12=20,R30*2,IF(DATEDIF(Resumen!$B$6,A30,"M")/12=25,R30*2.5,IF(DATEDIF(Resumen!$B$6,A30,"M")/12=30,R30*3)))))))</f>
        <v>0</v>
      </c>
      <c r="AA30" s="19">
        <f>(IF(Resumen!$B$20="Sí",IF(Resumen!$C$20&lt;=A30,IF(DATEDIF(Resumen!$C$20,A30,"Y")&lt;8,VLOOKUP(YEAR(A30),Resumen!$O$7:$P$12,2,0),0),0),0))+(IF(Resumen!$B$21="Sí",IF(Resumen!$C$21&lt;=A30,IF(DATEDIF(Resumen!$C$21,A30,"Y")&lt;8,VLOOKUP(YEAR(A30),Resumen!$O$7:$P$12,2,0),0),0),0))</f>
        <v>0</v>
      </c>
      <c r="AB30" s="1">
        <f>IF(MONTH(A30)=12,VLOOKUP(YEAR(A30),Resumen!$O$7:$P$12,2,0),0)</f>
        <v>0</v>
      </c>
      <c r="AC30" s="1">
        <f t="shared" si="0"/>
        <v>0</v>
      </c>
      <c r="AD30" s="19">
        <f>(IF(Resumen!$B$25="Sí",IF(DATE(YEAR(Resumen!$C$25),MONTH(Resumen!$C$25),1)=A30,1000,0)+(IF(Resumen!$B$26="Sí",IF(DATE(YEAR(Resumen!$C$26),MONTH(Resumen!$C$26),1)=A30,1000,0),0)),0))</f>
        <v>0</v>
      </c>
      <c r="AE30" s="1">
        <v>0</v>
      </c>
      <c r="AF30" s="1">
        <v>0</v>
      </c>
      <c r="AG30" s="19">
        <v>130</v>
      </c>
      <c r="AH30" s="1">
        <v>0</v>
      </c>
      <c r="AI30" s="19">
        <f>IF(MONTH(A30)=12,IF(Resumen!$B$9="Sí",(15+DATEDIF("1/5/2008",A30,"y")-5)*50,(15+DATEDIF(Resumen!$B$6,A30,"y")-5)*50),0)</f>
        <v>0</v>
      </c>
      <c r="AJ30" s="5">
        <f>IF(Resumen!$B$13="No",IF(Resumen!$B$12="No",20,100),0)</f>
        <v>20</v>
      </c>
      <c r="AK30" s="1">
        <f>IF(Resumen!$B$14="Código",(R30+S30+T30+X30)*9.45%*-1,(R30+S30+T30+X30)*11.45%*-1)</f>
        <v>-247.96119999999996</v>
      </c>
      <c r="AM30" s="3">
        <f t="shared" si="1"/>
        <v>300</v>
      </c>
      <c r="AN30" s="4">
        <f t="shared" si="2"/>
        <v>0</v>
      </c>
      <c r="AO30" s="4">
        <f t="shared" si="3"/>
        <v>0</v>
      </c>
      <c r="AP30" s="4">
        <f t="shared" si="4"/>
        <v>22.22</v>
      </c>
      <c r="AQ30" s="4">
        <f t="shared" si="5"/>
        <v>22.210000000000008</v>
      </c>
      <c r="AR30" s="4">
        <f t="shared" si="6"/>
        <v>620.27</v>
      </c>
      <c r="AS30" s="4">
        <f t="shared" si="7"/>
        <v>24</v>
      </c>
      <c r="AT30" s="4">
        <f t="shared" si="8"/>
        <v>50</v>
      </c>
      <c r="AU30" s="6">
        <f t="shared" si="9"/>
        <v>0</v>
      </c>
      <c r="AV30" s="6">
        <f t="shared" si="10"/>
        <v>0</v>
      </c>
      <c r="AW30" s="6">
        <f t="shared" si="11"/>
        <v>0</v>
      </c>
      <c r="AX30" s="6">
        <f t="shared" si="12"/>
        <v>20</v>
      </c>
      <c r="AY30" s="6">
        <f t="shared" si="13"/>
        <v>0</v>
      </c>
      <c r="AZ30" s="6">
        <f t="shared" si="14"/>
        <v>0</v>
      </c>
      <c r="BA30" s="6">
        <f t="shared" si="15"/>
        <v>0</v>
      </c>
      <c r="BB30" s="6">
        <f t="shared" si="16"/>
        <v>-105.370915</v>
      </c>
      <c r="BD30" s="3">
        <f t="shared" si="17"/>
        <v>953.32908500000008</v>
      </c>
      <c r="BE30" s="3">
        <v>0</v>
      </c>
    </row>
    <row r="31" spans="1:57" x14ac:dyDescent="0.25">
      <c r="A31" s="7">
        <v>43952</v>
      </c>
      <c r="B31" s="9">
        <f>IF(Resumen!$B$14="Código",IF(A31&lt;DATE(2021,7,1),Resumen!$B$7,Resumen!$B$7+300),IF(A31&lt;DATE(2022,3,1),Resumen!$B$7,Resumen!$B$7+300))</f>
        <v>1212</v>
      </c>
      <c r="C31" s="76">
        <f>Detalle!C31</f>
        <v>0</v>
      </c>
      <c r="D31" s="76">
        <f>Detalle!D31</f>
        <v>0</v>
      </c>
      <c r="E31" s="4">
        <f t="shared" si="18"/>
        <v>0</v>
      </c>
      <c r="F31" s="4">
        <f t="shared" si="19"/>
        <v>0</v>
      </c>
      <c r="G31" s="4">
        <f>IF(Resumen!$B$14="Código",IF(A31&lt;DATE(2021,7,1),(Resumen!$B$7*0.25%)*DATEDIF("1/1/2009",A31,"y"),IF(Resumen!$B$9="Sí",(((B31*0.03)+(VLOOKUP(YEAR(A31),Resumen!$O$7:$P$12,2,0)*0.05))*DATEDIF(MAX("1/5/2008",Resumen!$B$6),A31,"y")),(((B31*0.03)+(VLOOKUP(YEAR(A31),Resumen!$O$7:$P$12,2,0)*0.05))*DATEDIF(Resumen!$B$6,A31,"y")))),IF(A31&lt;DATE(2022,3,1),(Resumen!$B$7*0.25%)*DATEDIF("1/1/2009",A31,"y"),IF(Resumen!$B$9="Sí",(((B31*0.03)+(VLOOKUP(YEAR(A31),Resumen!$O$7:$P$12,2,0)*0.05))*DATEDIF(MAX("1/5/2008",Resumen!$B$6),A31,"y")),(((B31*0.03)+(VLOOKUP(YEAR(A31),Resumen!$O$7:$P$12,2,0)*0.05))*DATEDIF(Resumen!$B$6,A31,"y")))))</f>
        <v>33.330000000000005</v>
      </c>
      <c r="H31" s="4">
        <f t="shared" si="20"/>
        <v>103.78</v>
      </c>
      <c r="I31" s="4">
        <f t="shared" si="21"/>
        <v>103.74</v>
      </c>
      <c r="J31" s="1">
        <f>IF(Resumen!$B$14="Código",IF(A31&lt;DATE(2021,7,1),0,(0.03*(VLOOKUP(YEAR(A31),Resumen!$O$7:$P$12,2,0))*Resumen!$B$8)),IF(A31&lt;DATE(2022,3,1),0,(0.03*(VLOOKUP(YEAR(A31),Resumen!$O$7:$P$12,2,0))*Resumen!$B$8)))</f>
        <v>0</v>
      </c>
      <c r="K31" s="1">
        <f>IF(Resumen!$B$14="Código",IF(A31&lt;DATE(2021,7,1),0,50),IF(A31&lt;DATE(2022,3,1),0,50))</f>
        <v>0</v>
      </c>
      <c r="L31" s="1">
        <v>0</v>
      </c>
      <c r="M31" s="1">
        <v>0</v>
      </c>
      <c r="N31" s="1">
        <v>0</v>
      </c>
      <c r="O31" s="1">
        <v>0</v>
      </c>
      <c r="P31" s="1">
        <f>IF(Resumen!$B$14="Código",(B31+E31+F31+G31)*9.45%*-1,(B31+E31+F31+G31)*11.45%*-1)</f>
        <v>-142.59028499999997</v>
      </c>
      <c r="Q31" s="3"/>
      <c r="R31" s="9">
        <f t="shared" si="27"/>
        <v>1512</v>
      </c>
      <c r="S31" s="4">
        <f t="shared" si="22"/>
        <v>0</v>
      </c>
      <c r="T31" s="4">
        <f t="shared" si="23"/>
        <v>0</v>
      </c>
      <c r="U31" s="4">
        <f t="shared" si="24"/>
        <v>126</v>
      </c>
      <c r="V31" s="4">
        <f t="shared" si="25"/>
        <v>125.95</v>
      </c>
      <c r="W31" s="4">
        <f>(0.03*(VLOOKUP(YEAR(A31),Resumen!$O$7:$P$12,2,0))*Resumen!$B$8)</f>
        <v>24</v>
      </c>
      <c r="X31" s="4">
        <f>IF(Resumen!$B$9="Sí",(((R31*0.03)+(VLOOKUP(YEAR(A31),Resumen!$O$7:$P$12,2,0)*0.05))*DATEDIF(MAX("1/5/2008",Resumen!$B$6),A31,"y")),(((R31*0.03)+(VLOOKUP(YEAR(A31),Resumen!$O$7:$P$12,2,0)*0.05))*DATEDIF(Resumen!$B$6,A31,"y")))</f>
        <v>653.6</v>
      </c>
      <c r="Y31" s="3">
        <v>50</v>
      </c>
      <c r="Z31" s="1">
        <f>IF(Resumen!$B$9="Sí",IF(DATEDIF("1/5/2008",A31,"M")/12=5,R31/2,IF(DATEDIF("1/5/2008",A31,"M")/12=10,R31,IF(DATEDIF("1/5/2008",A31,"M")/12=15,R31*1.5,IF(DATEDIF("1/5/2008",A31,"M")/12=20,R31*2,0)))),IF(DATEDIF(Resumen!$B$6,A31,"M")/12=5,R31/2,IF(DATEDIF(Resumen!$B$6,A31,"M")/12=10,R31,IF(DATEDIF(Resumen!$B$6,A31,"M")/12=15,R31*1.5,IF(DATEDIF(Resumen!$B$6,A31,"M")/12=20,R31*2,IF(DATEDIF(Resumen!$B$6,A31,"M")/12=25,R31*2.5,IF(DATEDIF(Resumen!$B$6,A31,"M")/12=30,R31*3)))))))</f>
        <v>0</v>
      </c>
      <c r="AA31" s="19">
        <f>(IF(Resumen!$B$20="Sí",IF(Resumen!$C$20&lt;=A31,IF(DATEDIF(Resumen!$C$20,A31,"Y")&lt;8,VLOOKUP(YEAR(A31),Resumen!$O$7:$P$12,2,0),0),0),0))+(IF(Resumen!$B$21="Sí",IF(Resumen!$C$21&lt;=A31,IF(DATEDIF(Resumen!$C$21,A31,"Y")&lt;8,VLOOKUP(YEAR(A31),Resumen!$O$7:$P$12,2,0),0),0),0))</f>
        <v>0</v>
      </c>
      <c r="AB31" s="1">
        <f>IF(MONTH(A31)=12,VLOOKUP(YEAR(A31),Resumen!$O$7:$P$12,2,0),0)</f>
        <v>0</v>
      </c>
      <c r="AC31" s="1">
        <f t="shared" si="0"/>
        <v>0</v>
      </c>
      <c r="AD31" s="19">
        <f>(IF(Resumen!$B$25="Sí",IF(DATE(YEAR(Resumen!$C$25),MONTH(Resumen!$C$25),1)=A31,1000,0)+(IF(Resumen!$B$26="Sí",IF(DATE(YEAR(Resumen!$C$26),MONTH(Resumen!$C$26),1)=A31,1000,0),0)),0))</f>
        <v>0</v>
      </c>
      <c r="AE31" s="1">
        <v>0</v>
      </c>
      <c r="AF31" s="1">
        <v>0</v>
      </c>
      <c r="AG31" s="19">
        <v>130</v>
      </c>
      <c r="AH31" s="1">
        <v>0</v>
      </c>
      <c r="AI31" s="19">
        <f>IF(MONTH(A31)=12,IF(Resumen!$B$9="Sí",(15+DATEDIF("1/5/2008",A31,"y")-5)*50,(15+DATEDIF(Resumen!$B$6,A31,"y")-5)*50),0)</f>
        <v>0</v>
      </c>
      <c r="AJ31" s="5">
        <f>IF(Resumen!$B$13="No",IF(Resumen!$B$12="No",20,100),0)</f>
        <v>20</v>
      </c>
      <c r="AK31" s="1">
        <f>IF(Resumen!$B$14="Código",(R31+S31+T31+X31)*9.45%*-1,(R31+S31+T31+X31)*11.45%*-1)</f>
        <v>-247.96119999999996</v>
      </c>
      <c r="AM31" s="3">
        <f t="shared" si="1"/>
        <v>300</v>
      </c>
      <c r="AN31" s="4">
        <f t="shared" si="2"/>
        <v>0</v>
      </c>
      <c r="AO31" s="4">
        <f t="shared" si="3"/>
        <v>0</v>
      </c>
      <c r="AP31" s="4">
        <f t="shared" si="4"/>
        <v>22.22</v>
      </c>
      <c r="AQ31" s="4">
        <f t="shared" si="5"/>
        <v>22.210000000000008</v>
      </c>
      <c r="AR31" s="4">
        <f t="shared" si="6"/>
        <v>620.27</v>
      </c>
      <c r="AS31" s="4">
        <f t="shared" si="7"/>
        <v>24</v>
      </c>
      <c r="AT31" s="4">
        <f t="shared" si="8"/>
        <v>50</v>
      </c>
      <c r="AU31" s="6">
        <f t="shared" si="9"/>
        <v>0</v>
      </c>
      <c r="AV31" s="6">
        <f t="shared" si="10"/>
        <v>0</v>
      </c>
      <c r="AW31" s="6">
        <f t="shared" si="11"/>
        <v>0</v>
      </c>
      <c r="AX31" s="6">
        <f t="shared" si="12"/>
        <v>20</v>
      </c>
      <c r="AY31" s="6">
        <f t="shared" si="13"/>
        <v>0</v>
      </c>
      <c r="AZ31" s="6">
        <f t="shared" si="14"/>
        <v>0</v>
      </c>
      <c r="BA31" s="6">
        <f t="shared" si="15"/>
        <v>0</v>
      </c>
      <c r="BB31" s="6">
        <f t="shared" si="16"/>
        <v>-105.370915</v>
      </c>
      <c r="BD31" s="3">
        <f t="shared" si="17"/>
        <v>953.32908500000008</v>
      </c>
      <c r="BE31" s="3">
        <v>0</v>
      </c>
    </row>
    <row r="32" spans="1:57" x14ac:dyDescent="0.25">
      <c r="A32" s="7">
        <v>43983</v>
      </c>
      <c r="B32" s="9">
        <f>IF(Resumen!$B$14="Código",IF(A32&lt;DATE(2021,7,1),Resumen!$B$7,Resumen!$B$7+300),IF(A32&lt;DATE(2022,3,1),Resumen!$B$7,Resumen!$B$7+300))</f>
        <v>1212</v>
      </c>
      <c r="C32" s="76">
        <f>Detalle!C32</f>
        <v>0</v>
      </c>
      <c r="D32" s="76">
        <f>Detalle!D32</f>
        <v>0</v>
      </c>
      <c r="E32" s="4">
        <f t="shared" si="18"/>
        <v>0</v>
      </c>
      <c r="F32" s="4">
        <f t="shared" si="19"/>
        <v>0</v>
      </c>
      <c r="G32" s="4">
        <f>IF(Resumen!$B$14="Código",IF(A32&lt;DATE(2021,7,1),(Resumen!$B$7*0.25%)*DATEDIF("1/1/2009",A32,"y"),IF(Resumen!$B$9="Sí",(((B32*0.03)+(VLOOKUP(YEAR(A32),Resumen!$O$7:$P$12,2,0)*0.05))*DATEDIF(MAX("1/5/2008",Resumen!$B$6),A32,"y")),(((B32*0.03)+(VLOOKUP(YEAR(A32),Resumen!$O$7:$P$12,2,0)*0.05))*DATEDIF(Resumen!$B$6,A32,"y")))),IF(A32&lt;DATE(2022,3,1),(Resumen!$B$7*0.25%)*DATEDIF("1/1/2009",A32,"y"),IF(Resumen!$B$9="Sí",(((B32*0.03)+(VLOOKUP(YEAR(A32),Resumen!$O$7:$P$12,2,0)*0.05))*DATEDIF(MAX("1/5/2008",Resumen!$B$6),A32,"y")),(((B32*0.03)+(VLOOKUP(YEAR(A32),Resumen!$O$7:$P$12,2,0)*0.05))*DATEDIF(Resumen!$B$6,A32,"y")))))</f>
        <v>33.330000000000005</v>
      </c>
      <c r="H32" s="4">
        <f t="shared" si="20"/>
        <v>103.78</v>
      </c>
      <c r="I32" s="4">
        <f t="shared" si="21"/>
        <v>103.74</v>
      </c>
      <c r="J32" s="1">
        <f>IF(Resumen!$B$14="Código",IF(A32&lt;DATE(2021,7,1),0,(0.03*(VLOOKUP(YEAR(A32),Resumen!$O$7:$P$12,2,0))*Resumen!$B$8)),IF(A32&lt;DATE(2022,3,1),0,(0.03*(VLOOKUP(YEAR(A32),Resumen!$O$7:$P$12,2,0))*Resumen!$B$8)))</f>
        <v>0</v>
      </c>
      <c r="K32" s="1">
        <f>IF(Resumen!$B$14="Código",IF(A32&lt;DATE(2021,7,1),0,50),IF(A32&lt;DATE(2022,3,1),0,50))</f>
        <v>0</v>
      </c>
      <c r="L32" s="1">
        <v>0</v>
      </c>
      <c r="M32" s="1">
        <v>0</v>
      </c>
      <c r="N32" s="1">
        <v>0</v>
      </c>
      <c r="O32" s="1">
        <v>0</v>
      </c>
      <c r="P32" s="1">
        <f>IF(Resumen!$B$14="Código",(B32+E32+F32+G32)*9.45%*-1,(B32+E32+F32+G32)*11.45%*-1)</f>
        <v>-142.59028499999997</v>
      </c>
      <c r="Q32" s="3"/>
      <c r="R32" s="9">
        <f t="shared" si="27"/>
        <v>1512</v>
      </c>
      <c r="S32" s="4">
        <f t="shared" si="22"/>
        <v>0</v>
      </c>
      <c r="T32" s="4">
        <f t="shared" si="23"/>
        <v>0</v>
      </c>
      <c r="U32" s="4">
        <f t="shared" si="24"/>
        <v>126</v>
      </c>
      <c r="V32" s="4">
        <f t="shared" si="25"/>
        <v>125.95</v>
      </c>
      <c r="W32" s="4">
        <f>(0.03*(VLOOKUP(YEAR(A32),Resumen!$O$7:$P$12,2,0))*Resumen!$B$8)</f>
        <v>24</v>
      </c>
      <c r="X32" s="4">
        <f>IF(Resumen!$B$9="Sí",(((R32*0.03)+(VLOOKUP(YEAR(A32),Resumen!$O$7:$P$12,2,0)*0.05))*DATEDIF(MAX("1/5/2008",Resumen!$B$6),A32,"y")),(((R32*0.03)+(VLOOKUP(YEAR(A32),Resumen!$O$7:$P$12,2,0)*0.05))*DATEDIF(Resumen!$B$6,A32,"y")))</f>
        <v>653.6</v>
      </c>
      <c r="Y32" s="3">
        <v>50</v>
      </c>
      <c r="Z32" s="1">
        <f>IF(Resumen!$B$9="Sí",IF(DATEDIF("1/5/2008",A32,"M")/12=5,R32/2,IF(DATEDIF("1/5/2008",A32,"M")/12=10,R32,IF(DATEDIF("1/5/2008",A32,"M")/12=15,R32*1.5,IF(DATEDIF("1/5/2008",A32,"M")/12=20,R32*2,0)))),IF(DATEDIF(Resumen!$B$6,A32,"M")/12=5,R32/2,IF(DATEDIF(Resumen!$B$6,A32,"M")/12=10,R32,IF(DATEDIF(Resumen!$B$6,A32,"M")/12=15,R32*1.5,IF(DATEDIF(Resumen!$B$6,A32,"M")/12=20,R32*2,IF(DATEDIF(Resumen!$B$6,A32,"M")/12=25,R32*2.5,IF(DATEDIF(Resumen!$B$6,A32,"M")/12=30,R32*3)))))))</f>
        <v>0</v>
      </c>
      <c r="AA32" s="19">
        <f>(IF(Resumen!$B$20="Sí",IF(Resumen!$C$20&lt;=A32,IF(DATEDIF(Resumen!$C$20,A32,"Y")&lt;8,VLOOKUP(YEAR(A32),Resumen!$O$7:$P$12,2,0),0),0),0))+(IF(Resumen!$B$21="Sí",IF(Resumen!$C$21&lt;=A32,IF(DATEDIF(Resumen!$C$21,A32,"Y")&lt;8,VLOOKUP(YEAR(A32),Resumen!$O$7:$P$12,2,0),0),0),0))</f>
        <v>0</v>
      </c>
      <c r="AB32" s="1">
        <f>IF(MONTH(A32)=12,VLOOKUP(YEAR(A32),Resumen!$O$7:$P$12,2,0),0)</f>
        <v>0</v>
      </c>
      <c r="AC32" s="1">
        <f t="shared" si="0"/>
        <v>0</v>
      </c>
      <c r="AD32" s="19">
        <f>(IF(Resumen!$B$25="Sí",IF(DATE(YEAR(Resumen!$C$25),MONTH(Resumen!$C$25),1)=A32,1000,0)+(IF(Resumen!$B$26="Sí",IF(DATE(YEAR(Resumen!$C$26),MONTH(Resumen!$C$26),1)=A32,1000,0),0)),0))</f>
        <v>0</v>
      </c>
      <c r="AE32" s="1">
        <v>0</v>
      </c>
      <c r="AF32" s="1">
        <v>0</v>
      </c>
      <c r="AG32" s="19">
        <v>130</v>
      </c>
      <c r="AH32" s="1">
        <v>0</v>
      </c>
      <c r="AI32" s="19">
        <f>IF(MONTH(A32)=12,IF(Resumen!$B$9="Sí",(15+DATEDIF("1/5/2008",A32,"y")-5)*50,(15+DATEDIF(Resumen!$B$6,A32,"y")-5)*50),0)</f>
        <v>0</v>
      </c>
      <c r="AJ32" s="5">
        <f>IF(Resumen!$B$13="No",IF(Resumen!$B$12="No",20,100),0)</f>
        <v>20</v>
      </c>
      <c r="AK32" s="1">
        <f>IF(Resumen!$B$14="Código",(R32+S32+T32+X32)*9.45%*-1,(R32+S32+T32+X32)*11.45%*-1)</f>
        <v>-247.96119999999996</v>
      </c>
      <c r="AM32" s="3">
        <f t="shared" si="1"/>
        <v>300</v>
      </c>
      <c r="AN32" s="4">
        <f t="shared" si="2"/>
        <v>0</v>
      </c>
      <c r="AO32" s="4">
        <f t="shared" si="3"/>
        <v>0</v>
      </c>
      <c r="AP32" s="4">
        <f t="shared" si="4"/>
        <v>22.22</v>
      </c>
      <c r="AQ32" s="4">
        <f t="shared" si="5"/>
        <v>22.210000000000008</v>
      </c>
      <c r="AR32" s="4">
        <f t="shared" si="6"/>
        <v>620.27</v>
      </c>
      <c r="AS32" s="4">
        <f t="shared" si="7"/>
        <v>24</v>
      </c>
      <c r="AT32" s="4">
        <f t="shared" si="8"/>
        <v>50</v>
      </c>
      <c r="AU32" s="6">
        <f t="shared" si="9"/>
        <v>0</v>
      </c>
      <c r="AV32" s="6">
        <f t="shared" si="10"/>
        <v>0</v>
      </c>
      <c r="AW32" s="6">
        <f t="shared" si="11"/>
        <v>0</v>
      </c>
      <c r="AX32" s="6">
        <f t="shared" si="12"/>
        <v>20</v>
      </c>
      <c r="AY32" s="6">
        <f t="shared" si="13"/>
        <v>0</v>
      </c>
      <c r="AZ32" s="6">
        <f t="shared" si="14"/>
        <v>0</v>
      </c>
      <c r="BA32" s="6">
        <f t="shared" si="15"/>
        <v>0</v>
      </c>
      <c r="BB32" s="6">
        <f t="shared" si="16"/>
        <v>-105.370915</v>
      </c>
      <c r="BD32" s="3">
        <f t="shared" si="17"/>
        <v>953.32908500000008</v>
      </c>
      <c r="BE32" s="3">
        <v>0</v>
      </c>
    </row>
    <row r="33" spans="1:57" x14ac:dyDescent="0.25">
      <c r="A33" s="7">
        <v>44013</v>
      </c>
      <c r="B33" s="9">
        <f>IF(Resumen!$B$14="Código",IF(A33&lt;DATE(2021,7,1),Resumen!$B$7,Resumen!$B$7+300),IF(A33&lt;DATE(2022,3,1),Resumen!$B$7,Resumen!$B$7+300))</f>
        <v>1212</v>
      </c>
      <c r="C33" s="76">
        <f>Detalle!C33</f>
        <v>0</v>
      </c>
      <c r="D33" s="76">
        <f>Detalle!D33</f>
        <v>0</v>
      </c>
      <c r="E33" s="4">
        <f t="shared" si="18"/>
        <v>0</v>
      </c>
      <c r="F33" s="4">
        <f t="shared" si="19"/>
        <v>0</v>
      </c>
      <c r="G33" s="4">
        <f>IF(Resumen!$B$14="Código",IF(A33&lt;DATE(2021,7,1),(Resumen!$B$7*0.25%)*DATEDIF("1/1/2009",A33,"y"),IF(Resumen!$B$9="Sí",(((B33*0.03)+(VLOOKUP(YEAR(A33),Resumen!$O$7:$P$12,2,0)*0.05))*DATEDIF(MAX("1/5/2008",Resumen!$B$6),A33,"y")),(((B33*0.03)+(VLOOKUP(YEAR(A33),Resumen!$O$7:$P$12,2,0)*0.05))*DATEDIF(Resumen!$B$6,A33,"y")))),IF(A33&lt;DATE(2022,3,1),(Resumen!$B$7*0.25%)*DATEDIF("1/1/2009",A33,"y"),IF(Resumen!$B$9="Sí",(((B33*0.03)+(VLOOKUP(YEAR(A33),Resumen!$O$7:$P$12,2,0)*0.05))*DATEDIF(MAX("1/5/2008",Resumen!$B$6),A33,"y")),(((B33*0.03)+(VLOOKUP(YEAR(A33),Resumen!$O$7:$P$12,2,0)*0.05))*DATEDIF(Resumen!$B$6,A33,"y")))))</f>
        <v>33.330000000000005</v>
      </c>
      <c r="H33" s="4">
        <f t="shared" si="20"/>
        <v>103.78</v>
      </c>
      <c r="I33" s="4">
        <f t="shared" si="21"/>
        <v>103.74</v>
      </c>
      <c r="J33" s="1">
        <f>IF(Resumen!$B$14="Código",IF(A33&lt;DATE(2021,7,1),0,(0.03*(VLOOKUP(YEAR(A33),Resumen!$O$7:$P$12,2,0))*Resumen!$B$8)),IF(A33&lt;DATE(2022,3,1),0,(0.03*(VLOOKUP(YEAR(A33),Resumen!$O$7:$P$12,2,0))*Resumen!$B$8)))</f>
        <v>0</v>
      </c>
      <c r="K33" s="1">
        <f>IF(Resumen!$B$14="Código",IF(A33&lt;DATE(2021,7,1),0,50),IF(A33&lt;DATE(2022,3,1),0,50))</f>
        <v>0</v>
      </c>
      <c r="L33" s="1">
        <v>0</v>
      </c>
      <c r="M33" s="1">
        <v>0</v>
      </c>
      <c r="N33" s="1">
        <v>0</v>
      </c>
      <c r="O33" s="1">
        <v>0</v>
      </c>
      <c r="P33" s="1">
        <f>IF(Resumen!$B$14="Código",(B33+E33+F33+G33)*9.45%*-1,(B33+E33+F33+G33)*11.45%*-1)</f>
        <v>-142.59028499999997</v>
      </c>
      <c r="Q33" s="3"/>
      <c r="R33" s="9">
        <f t="shared" si="27"/>
        <v>1512</v>
      </c>
      <c r="S33" s="4">
        <f t="shared" si="22"/>
        <v>0</v>
      </c>
      <c r="T33" s="4">
        <f t="shared" si="23"/>
        <v>0</v>
      </c>
      <c r="U33" s="4">
        <f t="shared" si="24"/>
        <v>126</v>
      </c>
      <c r="V33" s="4">
        <f t="shared" si="25"/>
        <v>125.95</v>
      </c>
      <c r="W33" s="4">
        <f>(0.03*(VLOOKUP(YEAR(A33),Resumen!$O$7:$P$12,2,0))*Resumen!$B$8)</f>
        <v>24</v>
      </c>
      <c r="X33" s="4">
        <f>IF(Resumen!$B$9="Sí",(((R33*0.03)+(VLOOKUP(YEAR(A33),Resumen!$O$7:$P$12,2,0)*0.05))*DATEDIF(MAX("1/5/2008",Resumen!$B$6),A33,"y")),(((R33*0.03)+(VLOOKUP(YEAR(A33),Resumen!$O$7:$P$12,2,0)*0.05))*DATEDIF(Resumen!$B$6,A33,"y")))</f>
        <v>653.6</v>
      </c>
      <c r="Y33" s="3">
        <v>50</v>
      </c>
      <c r="Z33" s="1">
        <f>IF(Resumen!$B$9="Sí",IF(DATEDIF("1/5/2008",A33,"M")/12=5,R33/2,IF(DATEDIF("1/5/2008",A33,"M")/12=10,R33,IF(DATEDIF("1/5/2008",A33,"M")/12=15,R33*1.5,IF(DATEDIF("1/5/2008",A33,"M")/12=20,R33*2,0)))),IF(DATEDIF(Resumen!$B$6,A33,"M")/12=5,R33/2,IF(DATEDIF(Resumen!$B$6,A33,"M")/12=10,R33,IF(DATEDIF(Resumen!$B$6,A33,"M")/12=15,R33*1.5,IF(DATEDIF(Resumen!$B$6,A33,"M")/12=20,R33*2,IF(DATEDIF(Resumen!$B$6,A33,"M")/12=25,R33*2.5,IF(DATEDIF(Resumen!$B$6,A33,"M")/12=30,R33*3)))))))</f>
        <v>0</v>
      </c>
      <c r="AA33" s="19">
        <f>(IF(Resumen!$B$20="Sí",IF(Resumen!$C$20&lt;=A33,IF(DATEDIF(Resumen!$C$20,A33,"Y")&lt;8,VLOOKUP(YEAR(A33),Resumen!$O$7:$P$12,2,0),0),0),0))+(IF(Resumen!$B$21="Sí",IF(Resumen!$C$21&lt;=A33,IF(DATEDIF(Resumen!$C$21,A33,"Y")&lt;8,VLOOKUP(YEAR(A33),Resumen!$O$7:$P$12,2,0),0),0),0))</f>
        <v>0</v>
      </c>
      <c r="AB33" s="1">
        <f>IF(MONTH(A33)=12,VLOOKUP(YEAR(A33),Resumen!$O$7:$P$12,2,0),0)</f>
        <v>0</v>
      </c>
      <c r="AC33" s="1">
        <f t="shared" si="0"/>
        <v>0</v>
      </c>
      <c r="AD33" s="19">
        <f>(IF(Resumen!$B$25="Sí",IF(DATE(YEAR(Resumen!$C$25),MONTH(Resumen!$C$25),1)=A33,1000,0)+(IF(Resumen!$B$26="Sí",IF(DATE(YEAR(Resumen!$C$26),MONTH(Resumen!$C$26),1)=A33,1000,0),0)),0))</f>
        <v>0</v>
      </c>
      <c r="AE33" s="1">
        <v>0</v>
      </c>
      <c r="AF33" s="1">
        <v>0</v>
      </c>
      <c r="AG33" s="19">
        <v>130</v>
      </c>
      <c r="AH33" s="1">
        <v>0</v>
      </c>
      <c r="AI33" s="19">
        <f>IF(MONTH(A33)=12,IF(Resumen!$B$9="Sí",(15+DATEDIF("1/5/2008",A33,"y")-5)*50,(15+DATEDIF(Resumen!$B$6,A33,"y")-5)*50),0)</f>
        <v>0</v>
      </c>
      <c r="AJ33" s="5">
        <f>IF(Resumen!$B$13="No",IF(Resumen!$B$12="No",20,100),0)</f>
        <v>20</v>
      </c>
      <c r="AK33" s="1">
        <f>IF(Resumen!$B$14="Código",(R33+S33+T33+X33)*9.45%*-1,(R33+S33+T33+X33)*11.45%*-1)</f>
        <v>-247.96119999999996</v>
      </c>
      <c r="AM33" s="3">
        <f t="shared" si="1"/>
        <v>300</v>
      </c>
      <c r="AN33" s="4">
        <f t="shared" si="2"/>
        <v>0</v>
      </c>
      <c r="AO33" s="4">
        <f t="shared" si="3"/>
        <v>0</v>
      </c>
      <c r="AP33" s="4">
        <f t="shared" si="4"/>
        <v>22.22</v>
      </c>
      <c r="AQ33" s="4">
        <f t="shared" si="5"/>
        <v>22.210000000000008</v>
      </c>
      <c r="AR33" s="4">
        <f t="shared" si="6"/>
        <v>620.27</v>
      </c>
      <c r="AS33" s="4">
        <f t="shared" si="7"/>
        <v>24</v>
      </c>
      <c r="AT33" s="4">
        <f t="shared" si="8"/>
        <v>50</v>
      </c>
      <c r="AU33" s="6">
        <f t="shared" si="9"/>
        <v>0</v>
      </c>
      <c r="AV33" s="6">
        <f t="shared" si="10"/>
        <v>0</v>
      </c>
      <c r="AW33" s="6">
        <f t="shared" si="11"/>
        <v>0</v>
      </c>
      <c r="AX33" s="6">
        <f t="shared" si="12"/>
        <v>20</v>
      </c>
      <c r="AY33" s="6">
        <f t="shared" si="13"/>
        <v>0</v>
      </c>
      <c r="AZ33" s="6">
        <f t="shared" si="14"/>
        <v>0</v>
      </c>
      <c r="BA33" s="6">
        <f t="shared" si="15"/>
        <v>0</v>
      </c>
      <c r="BB33" s="6">
        <f t="shared" si="16"/>
        <v>-105.370915</v>
      </c>
      <c r="BD33" s="3">
        <f t="shared" si="17"/>
        <v>953.32908500000008</v>
      </c>
      <c r="BE33" s="3">
        <v>0</v>
      </c>
    </row>
    <row r="34" spans="1:57" x14ac:dyDescent="0.25">
      <c r="A34" s="7">
        <v>44044</v>
      </c>
      <c r="B34" s="9">
        <f>IF(Resumen!$B$14="Código",IF(A34&lt;DATE(2021,7,1),Resumen!$B$7,Resumen!$B$7+300),IF(A34&lt;DATE(2022,3,1),Resumen!$B$7,Resumen!$B$7+300))</f>
        <v>1212</v>
      </c>
      <c r="C34" s="76">
        <f>Detalle!C34</f>
        <v>0</v>
      </c>
      <c r="D34" s="76">
        <f>Detalle!D34</f>
        <v>16</v>
      </c>
      <c r="E34" s="4">
        <f t="shared" si="18"/>
        <v>0</v>
      </c>
      <c r="F34" s="4">
        <f t="shared" si="19"/>
        <v>161.6</v>
      </c>
      <c r="G34" s="4">
        <f>IF(Resumen!$B$14="Código",IF(A34&lt;DATE(2021,7,1),(Resumen!$B$7*0.25%)*DATEDIF("1/1/2009",A34,"y"),IF(Resumen!$B$9="Sí",(((B34*0.03)+(VLOOKUP(YEAR(A34),Resumen!$O$7:$P$12,2,0)*0.05))*DATEDIF(MAX("1/5/2008",Resumen!$B$6),A34,"y")),(((B34*0.03)+(VLOOKUP(YEAR(A34),Resumen!$O$7:$P$12,2,0)*0.05))*DATEDIF(Resumen!$B$6,A34,"y")))),IF(A34&lt;DATE(2022,3,1),(Resumen!$B$7*0.25%)*DATEDIF("1/1/2009",A34,"y"),IF(Resumen!$B$9="Sí",(((B34*0.03)+(VLOOKUP(YEAR(A34),Resumen!$O$7:$P$12,2,0)*0.05))*DATEDIF(MAX("1/5/2008",Resumen!$B$6),A34,"y")),(((B34*0.03)+(VLOOKUP(YEAR(A34),Resumen!$O$7:$P$12,2,0)*0.05))*DATEDIF(Resumen!$B$6,A34,"y")))))</f>
        <v>33.330000000000005</v>
      </c>
      <c r="H34" s="4">
        <f t="shared" si="20"/>
        <v>117.24</v>
      </c>
      <c r="I34" s="4">
        <f t="shared" si="21"/>
        <v>117.2</v>
      </c>
      <c r="J34" s="1">
        <f>IF(Resumen!$B$14="Código",IF(A34&lt;DATE(2021,7,1),0,(0.03*(VLOOKUP(YEAR(A34),Resumen!$O$7:$P$12,2,0))*Resumen!$B$8)),IF(A34&lt;DATE(2022,3,1),0,(0.03*(VLOOKUP(YEAR(A34),Resumen!$O$7:$P$12,2,0))*Resumen!$B$8)))</f>
        <v>0</v>
      </c>
      <c r="K34" s="1">
        <f>IF(Resumen!$B$14="Código",IF(A34&lt;DATE(2021,7,1),0,50),IF(A34&lt;DATE(2022,3,1),0,50))</f>
        <v>0</v>
      </c>
      <c r="L34" s="1">
        <v>0</v>
      </c>
      <c r="M34" s="1">
        <v>0</v>
      </c>
      <c r="N34" s="1">
        <v>0</v>
      </c>
      <c r="O34" s="1">
        <v>0</v>
      </c>
      <c r="P34" s="1">
        <f>IF(Resumen!$B$14="Código",(B34+E34+F34+G34)*9.45%*-1,(B34+E34+F34+G34)*11.45%*-1)</f>
        <v>-161.09348499999996</v>
      </c>
      <c r="Q34" s="3"/>
      <c r="R34" s="9">
        <f t="shared" si="27"/>
        <v>1512</v>
      </c>
      <c r="S34" s="4">
        <f t="shared" si="22"/>
        <v>0</v>
      </c>
      <c r="T34" s="4">
        <f t="shared" si="23"/>
        <v>201.6</v>
      </c>
      <c r="U34" s="4">
        <f t="shared" si="24"/>
        <v>142.80000000000001</v>
      </c>
      <c r="V34" s="4">
        <f t="shared" si="25"/>
        <v>142.74</v>
      </c>
      <c r="W34" s="4">
        <f>(0.03*(VLOOKUP(YEAR(A34),Resumen!$O$7:$P$12,2,0))*Resumen!$B$8)</f>
        <v>24</v>
      </c>
      <c r="X34" s="4">
        <f>IF(Resumen!$B$9="Sí",(((R34*0.03)+(VLOOKUP(YEAR(A34),Resumen!$O$7:$P$12,2,0)*0.05))*DATEDIF(MAX("1/5/2008",Resumen!$B$6),A34,"y")),(((R34*0.03)+(VLOOKUP(YEAR(A34),Resumen!$O$7:$P$12,2,0)*0.05))*DATEDIF(Resumen!$B$6,A34,"y")))</f>
        <v>653.6</v>
      </c>
      <c r="Y34" s="3">
        <v>50</v>
      </c>
      <c r="Z34" s="1">
        <f>IF(Resumen!$B$9="Sí",IF(DATEDIF("1/5/2008",A34,"M")/12=5,R34/2,IF(DATEDIF("1/5/2008",A34,"M")/12=10,R34,IF(DATEDIF("1/5/2008",A34,"M")/12=15,R34*1.5,IF(DATEDIF("1/5/2008",A34,"M")/12=20,R34*2,0)))),IF(DATEDIF(Resumen!$B$6,A34,"M")/12=5,R34/2,IF(DATEDIF(Resumen!$B$6,A34,"M")/12=10,R34,IF(DATEDIF(Resumen!$B$6,A34,"M")/12=15,R34*1.5,IF(DATEDIF(Resumen!$B$6,A34,"M")/12=20,R34*2,IF(DATEDIF(Resumen!$B$6,A34,"M")/12=25,R34*2.5,IF(DATEDIF(Resumen!$B$6,A34,"M")/12=30,R34*3)))))))</f>
        <v>0</v>
      </c>
      <c r="AA34" s="19">
        <f>(IF(Resumen!$B$20="Sí",IF(Resumen!$C$20&lt;=A34,IF(DATEDIF(Resumen!$C$20,A34,"Y")&lt;8,VLOOKUP(YEAR(A34),Resumen!$O$7:$P$12,2,0),0),0),0))+(IF(Resumen!$B$21="Sí",IF(Resumen!$C$21&lt;=A34,IF(DATEDIF(Resumen!$C$21,A34,"Y")&lt;8,VLOOKUP(YEAR(A34),Resumen!$O$7:$P$12,2,0),0),0),0))</f>
        <v>0</v>
      </c>
      <c r="AB34" s="1">
        <f>IF(MONTH(A34)=12,VLOOKUP(YEAR(A34),Resumen!$O$7:$P$12,2,0),0)</f>
        <v>0</v>
      </c>
      <c r="AC34" s="1">
        <f t="shared" si="0"/>
        <v>0</v>
      </c>
      <c r="AD34" s="19">
        <f>(IF(Resumen!$B$25="Sí",IF(DATE(YEAR(Resumen!$C$25),MONTH(Resumen!$C$25),1)=A34,1000,0)+(IF(Resumen!$B$26="Sí",IF(DATE(YEAR(Resumen!$C$26),MONTH(Resumen!$C$26),1)=A34,1000,0),0)),0))</f>
        <v>0</v>
      </c>
      <c r="AE34" s="1">
        <v>0</v>
      </c>
      <c r="AF34" s="1">
        <v>0</v>
      </c>
      <c r="AG34" s="19">
        <v>130</v>
      </c>
      <c r="AH34" s="1">
        <v>0</v>
      </c>
      <c r="AI34" s="19">
        <f>IF(MONTH(A34)=12,IF(Resumen!$B$9="Sí",(15+DATEDIF("1/5/2008",A34,"y")-5)*50,(15+DATEDIF(Resumen!$B$6,A34,"y")-5)*50),0)</f>
        <v>0</v>
      </c>
      <c r="AJ34" s="5">
        <f>IF(Resumen!$B$13="No",IF(Resumen!$B$12="No",20,100),0)</f>
        <v>20</v>
      </c>
      <c r="AK34" s="1">
        <f>IF(Resumen!$B$14="Código",(R34+S34+T34+X34)*9.45%*-1,(R34+S34+T34+X34)*11.45%*-1)</f>
        <v>-271.04439999999994</v>
      </c>
      <c r="AM34" s="3">
        <f t="shared" si="1"/>
        <v>300</v>
      </c>
      <c r="AN34" s="4">
        <f t="shared" si="2"/>
        <v>0</v>
      </c>
      <c r="AO34" s="4">
        <f t="shared" si="3"/>
        <v>40</v>
      </c>
      <c r="AP34" s="4">
        <f t="shared" si="4"/>
        <v>25.560000000000016</v>
      </c>
      <c r="AQ34" s="4">
        <f t="shared" si="5"/>
        <v>25.540000000000006</v>
      </c>
      <c r="AR34" s="4">
        <f t="shared" si="6"/>
        <v>620.27</v>
      </c>
      <c r="AS34" s="4">
        <f t="shared" si="7"/>
        <v>24</v>
      </c>
      <c r="AT34" s="4">
        <f t="shared" si="8"/>
        <v>50</v>
      </c>
      <c r="AU34" s="6">
        <f t="shared" si="9"/>
        <v>0</v>
      </c>
      <c r="AV34" s="6">
        <f t="shared" si="10"/>
        <v>0</v>
      </c>
      <c r="AW34" s="6">
        <f t="shared" si="11"/>
        <v>0</v>
      </c>
      <c r="AX34" s="6">
        <f t="shared" si="12"/>
        <v>20</v>
      </c>
      <c r="AY34" s="6">
        <f t="shared" si="13"/>
        <v>0</v>
      </c>
      <c r="AZ34" s="6">
        <f t="shared" si="14"/>
        <v>0</v>
      </c>
      <c r="BA34" s="6">
        <f t="shared" si="15"/>
        <v>0</v>
      </c>
      <c r="BB34" s="6">
        <f t="shared" si="16"/>
        <v>-109.95091499999998</v>
      </c>
      <c r="BD34" s="3">
        <f t="shared" si="17"/>
        <v>995.41908499999988</v>
      </c>
      <c r="BE34" s="3">
        <v>0</v>
      </c>
    </row>
    <row r="35" spans="1:57" x14ac:dyDescent="0.25">
      <c r="A35" s="7">
        <v>44075</v>
      </c>
      <c r="B35" s="9">
        <f>IF(Resumen!$B$14="Código",IF(A35&lt;DATE(2021,7,1),Resumen!$B$7,Resumen!$B$7+300),IF(A35&lt;DATE(2022,3,1),Resumen!$B$7,Resumen!$B$7+300))</f>
        <v>1212</v>
      </c>
      <c r="C35" s="76">
        <f>Detalle!C35</f>
        <v>0</v>
      </c>
      <c r="D35" s="76">
        <f>Detalle!D35</f>
        <v>8</v>
      </c>
      <c r="E35" s="4">
        <f t="shared" si="18"/>
        <v>0</v>
      </c>
      <c r="F35" s="4">
        <f t="shared" si="19"/>
        <v>80.8</v>
      </c>
      <c r="G35" s="4">
        <f>IF(Resumen!$B$14="Código",IF(A35&lt;DATE(2021,7,1),(Resumen!$B$7*0.25%)*DATEDIF("1/1/2009",A35,"y"),IF(Resumen!$B$9="Sí",(((B35*0.03)+(VLOOKUP(YEAR(A35),Resumen!$O$7:$P$12,2,0)*0.05))*DATEDIF(MAX("1/5/2008",Resumen!$B$6),A35,"y")),(((B35*0.03)+(VLOOKUP(YEAR(A35),Resumen!$O$7:$P$12,2,0)*0.05))*DATEDIF(Resumen!$B$6,A35,"y")))),IF(A35&lt;DATE(2022,3,1),(Resumen!$B$7*0.25%)*DATEDIF("1/1/2009",A35,"y"),IF(Resumen!$B$9="Sí",(((B35*0.03)+(VLOOKUP(YEAR(A35),Resumen!$O$7:$P$12,2,0)*0.05))*DATEDIF(MAX("1/5/2008",Resumen!$B$6),A35,"y")),(((B35*0.03)+(VLOOKUP(YEAR(A35),Resumen!$O$7:$P$12,2,0)*0.05))*DATEDIF(Resumen!$B$6,A35,"y")))))</f>
        <v>33.330000000000005</v>
      </c>
      <c r="H35" s="4">
        <f t="shared" si="20"/>
        <v>110.51</v>
      </c>
      <c r="I35" s="4">
        <f t="shared" si="21"/>
        <v>110.47</v>
      </c>
      <c r="J35" s="1">
        <f>IF(Resumen!$B$14="Código",IF(A35&lt;DATE(2021,7,1),0,(0.03*(VLOOKUP(YEAR(A35),Resumen!$O$7:$P$12,2,0))*Resumen!$B$8)),IF(A35&lt;DATE(2022,3,1),0,(0.03*(VLOOKUP(YEAR(A35),Resumen!$O$7:$P$12,2,0))*Resumen!$B$8)))</f>
        <v>0</v>
      </c>
      <c r="K35" s="1">
        <f>IF(Resumen!$B$14="Código",IF(A35&lt;DATE(2021,7,1),0,50),IF(A35&lt;DATE(2022,3,1),0,50))</f>
        <v>0</v>
      </c>
      <c r="L35" s="1">
        <v>0</v>
      </c>
      <c r="M35" s="1">
        <v>0</v>
      </c>
      <c r="N35" s="1">
        <v>0</v>
      </c>
      <c r="O35" s="1">
        <v>0</v>
      </c>
      <c r="P35" s="1">
        <f>IF(Resumen!$B$14="Código",(B35+E35+F35+G35)*9.45%*-1,(B35+E35+F35+G35)*11.45%*-1)</f>
        <v>-151.84188499999996</v>
      </c>
      <c r="Q35" s="3"/>
      <c r="R35" s="9">
        <f t="shared" si="27"/>
        <v>1512</v>
      </c>
      <c r="S35" s="4">
        <f t="shared" si="22"/>
        <v>0</v>
      </c>
      <c r="T35" s="4">
        <f t="shared" si="23"/>
        <v>100.8</v>
      </c>
      <c r="U35" s="4">
        <f t="shared" si="24"/>
        <v>134.4</v>
      </c>
      <c r="V35" s="4">
        <f t="shared" si="25"/>
        <v>134.35</v>
      </c>
      <c r="W35" s="4">
        <f>(0.03*(VLOOKUP(YEAR(A35),Resumen!$O$7:$P$12,2,0))*Resumen!$B$8)</f>
        <v>24</v>
      </c>
      <c r="X35" s="4">
        <f>IF(Resumen!$B$9="Sí",(((R35*0.03)+(VLOOKUP(YEAR(A35),Resumen!$O$7:$P$12,2,0)*0.05))*DATEDIF(MAX("1/5/2008",Resumen!$B$6),A35,"y")),(((R35*0.03)+(VLOOKUP(YEAR(A35),Resumen!$O$7:$P$12,2,0)*0.05))*DATEDIF(Resumen!$B$6,A35,"y")))</f>
        <v>653.6</v>
      </c>
      <c r="Y35" s="3">
        <v>50</v>
      </c>
      <c r="Z35" s="1">
        <f>IF(Resumen!$B$9="Sí",IF(DATEDIF("1/5/2008",A35,"M")/12=5,R35/2,IF(DATEDIF("1/5/2008",A35,"M")/12=10,R35,IF(DATEDIF("1/5/2008",A35,"M")/12=15,R35*1.5,IF(DATEDIF("1/5/2008",A35,"M")/12=20,R35*2,0)))),IF(DATEDIF(Resumen!$B$6,A35,"M")/12=5,R35/2,IF(DATEDIF(Resumen!$B$6,A35,"M")/12=10,R35,IF(DATEDIF(Resumen!$B$6,A35,"M")/12=15,R35*1.5,IF(DATEDIF(Resumen!$B$6,A35,"M")/12=20,R35*2,IF(DATEDIF(Resumen!$B$6,A35,"M")/12=25,R35*2.5,IF(DATEDIF(Resumen!$B$6,A35,"M")/12=30,R35*3)))))))</f>
        <v>0</v>
      </c>
      <c r="AA35" s="19">
        <f>(IF(Resumen!$B$20="Sí",IF(Resumen!$C$20&lt;=A35,IF(DATEDIF(Resumen!$C$20,A35,"Y")&lt;8,VLOOKUP(YEAR(A35),Resumen!$O$7:$P$12,2,0),0),0),0))+(IF(Resumen!$B$21="Sí",IF(Resumen!$C$21&lt;=A35,IF(DATEDIF(Resumen!$C$21,A35,"Y")&lt;8,VLOOKUP(YEAR(A35),Resumen!$O$7:$P$12,2,0),0),0),0))</f>
        <v>0</v>
      </c>
      <c r="AB35" s="1">
        <f>IF(MONTH(A35)=12,VLOOKUP(YEAR(A35),Resumen!$O$7:$P$12,2,0),0)</f>
        <v>0</v>
      </c>
      <c r="AC35" s="1">
        <f t="shared" ref="AC35:AC65" si="28">IF(MONTH(A35)=12,100,0)</f>
        <v>0</v>
      </c>
      <c r="AD35" s="19">
        <f>(IF(Resumen!$B$25="Sí",IF(DATE(YEAR(Resumen!$C$25),MONTH(Resumen!$C$25),1)=A35,1000,0)+(IF(Resumen!$B$26="Sí",IF(DATE(YEAR(Resumen!$C$26),MONTH(Resumen!$C$26),1)=A35,1000,0),0)),0))</f>
        <v>0</v>
      </c>
      <c r="AE35" s="1">
        <v>0</v>
      </c>
      <c r="AF35" s="1">
        <v>0</v>
      </c>
      <c r="AG35" s="19">
        <v>130</v>
      </c>
      <c r="AH35" s="1">
        <v>0</v>
      </c>
      <c r="AI35" s="19">
        <f>IF(MONTH(A35)=12,IF(Resumen!$B$9="Sí",(15+DATEDIF("1/5/2008",A35,"y")-5)*50,(15+DATEDIF(Resumen!$B$6,A35,"y")-5)*50),0)</f>
        <v>0</v>
      </c>
      <c r="AJ35" s="5">
        <f>IF(Resumen!$B$13="No",IF(Resumen!$B$12="No",20,100),0)</f>
        <v>20</v>
      </c>
      <c r="AK35" s="1">
        <f>IF(Resumen!$B$14="Código",(R35+S35+T35+X35)*9.45%*-1,(R35+S35+T35+X35)*11.45%*-1)</f>
        <v>-259.50279999999998</v>
      </c>
      <c r="AM35" s="3">
        <f t="shared" ref="AM35:AM65" si="29">R35-B35</f>
        <v>300</v>
      </c>
      <c r="AN35" s="4">
        <f t="shared" ref="AN35:AN65" si="30">S35-E35</f>
        <v>0</v>
      </c>
      <c r="AO35" s="4">
        <f t="shared" ref="AO35:AO65" si="31">T35-F35</f>
        <v>20</v>
      </c>
      <c r="AP35" s="4">
        <f t="shared" ref="AP35:AP65" si="32">U35-H35</f>
        <v>23.89</v>
      </c>
      <c r="AQ35" s="4">
        <f t="shared" ref="AQ35:AQ65" si="33">V35-I35</f>
        <v>23.879999999999995</v>
      </c>
      <c r="AR35" s="4">
        <f t="shared" ref="AR35:AR65" si="34">X35-G35</f>
        <v>620.27</v>
      </c>
      <c r="AS35" s="4">
        <f t="shared" ref="AS35:AS65" si="35">W35-J35</f>
        <v>24</v>
      </c>
      <c r="AT35" s="4">
        <f t="shared" ref="AT35:AT65" si="36">Y35-K35</f>
        <v>50</v>
      </c>
      <c r="AU35" s="6">
        <f t="shared" ref="AU35:AU65" si="37">AB35-L35</f>
        <v>0</v>
      </c>
      <c r="AV35" s="6">
        <f t="shared" ref="AV35:AV65" si="38">AC35-M35</f>
        <v>0</v>
      </c>
      <c r="AW35" s="6">
        <f t="shared" ref="AW35:AW65" si="39">AE35-N35</f>
        <v>0</v>
      </c>
      <c r="AX35" s="6">
        <f t="shared" ref="AX35:AX65" si="40">AJ35-O35</f>
        <v>20</v>
      </c>
      <c r="AY35" s="6">
        <f t="shared" ref="AY35:AY65" si="41">Z35</f>
        <v>0</v>
      </c>
      <c r="AZ35" s="6">
        <f t="shared" ref="AZ35:AZ65" si="42">AA35</f>
        <v>0</v>
      </c>
      <c r="BA35" s="6">
        <f t="shared" ref="BA35:BA65" si="43">AI35</f>
        <v>0</v>
      </c>
      <c r="BB35" s="6">
        <f t="shared" ref="BB35:BB65" si="44">AK35-P35</f>
        <v>-107.66091500000002</v>
      </c>
      <c r="BD35" s="3">
        <f t="shared" ref="BD35:BD65" si="45">SUM(AM35:BB35)</f>
        <v>974.37908499999992</v>
      </c>
      <c r="BE35" s="3">
        <v>0</v>
      </c>
    </row>
    <row r="36" spans="1:57" x14ac:dyDescent="0.25">
      <c r="A36" s="7">
        <v>44105</v>
      </c>
      <c r="B36" s="9">
        <f>IF(Resumen!$B$14="Código",IF(A36&lt;DATE(2021,7,1),Resumen!$B$7,Resumen!$B$7+300),IF(A36&lt;DATE(2022,3,1),Resumen!$B$7,Resumen!$B$7+300))</f>
        <v>1212</v>
      </c>
      <c r="C36" s="76">
        <f>Detalle!C36</f>
        <v>0</v>
      </c>
      <c r="D36" s="76">
        <f>Detalle!D36</f>
        <v>16</v>
      </c>
      <c r="E36" s="4">
        <f t="shared" si="18"/>
        <v>0</v>
      </c>
      <c r="F36" s="4">
        <f t="shared" si="19"/>
        <v>161.6</v>
      </c>
      <c r="G36" s="4">
        <f>IF(Resumen!$B$14="Código",IF(A36&lt;DATE(2021,7,1),(Resumen!$B$7*0.25%)*DATEDIF("1/1/2009",A36,"y"),IF(Resumen!$B$9="Sí",(((B36*0.03)+(VLOOKUP(YEAR(A36),Resumen!$O$7:$P$12,2,0)*0.05))*DATEDIF(MAX("1/5/2008",Resumen!$B$6),A36,"y")),(((B36*0.03)+(VLOOKUP(YEAR(A36),Resumen!$O$7:$P$12,2,0)*0.05))*DATEDIF(Resumen!$B$6,A36,"y")))),IF(A36&lt;DATE(2022,3,1),(Resumen!$B$7*0.25%)*DATEDIF("1/1/2009",A36,"y"),IF(Resumen!$B$9="Sí",(((B36*0.03)+(VLOOKUP(YEAR(A36),Resumen!$O$7:$P$12,2,0)*0.05))*DATEDIF(MAX("1/5/2008",Resumen!$B$6),A36,"y")),(((B36*0.03)+(VLOOKUP(YEAR(A36),Resumen!$O$7:$P$12,2,0)*0.05))*DATEDIF(Resumen!$B$6,A36,"y")))))</f>
        <v>33.330000000000005</v>
      </c>
      <c r="H36" s="4">
        <f t="shared" si="20"/>
        <v>117.24</v>
      </c>
      <c r="I36" s="4">
        <f t="shared" si="21"/>
        <v>117.2</v>
      </c>
      <c r="J36" s="1">
        <f>IF(Resumen!$B$14="Código",IF(A36&lt;DATE(2021,7,1),0,(0.03*(VLOOKUP(YEAR(A36),Resumen!$O$7:$P$12,2,0))*Resumen!$B$8)),IF(A36&lt;DATE(2022,3,1),0,(0.03*(VLOOKUP(YEAR(A36),Resumen!$O$7:$P$12,2,0))*Resumen!$B$8)))</f>
        <v>0</v>
      </c>
      <c r="K36" s="1">
        <f>IF(Resumen!$B$14="Código",IF(A36&lt;DATE(2021,7,1),0,50),IF(A36&lt;DATE(2022,3,1),0,50))</f>
        <v>0</v>
      </c>
      <c r="L36" s="1">
        <v>0</v>
      </c>
      <c r="M36" s="1">
        <v>0</v>
      </c>
      <c r="N36" s="1">
        <v>0</v>
      </c>
      <c r="O36" s="1">
        <v>0</v>
      </c>
      <c r="P36" s="1">
        <f>IF(Resumen!$B$14="Código",(B36+E36+F36+G36)*9.45%*-1,(B36+E36+F36+G36)*11.45%*-1)</f>
        <v>-161.09348499999996</v>
      </c>
      <c r="Q36" s="3"/>
      <c r="R36" s="9">
        <f t="shared" si="27"/>
        <v>1512</v>
      </c>
      <c r="S36" s="4">
        <f t="shared" si="22"/>
        <v>0</v>
      </c>
      <c r="T36" s="4">
        <f t="shared" si="23"/>
        <v>201.6</v>
      </c>
      <c r="U36" s="4">
        <f t="shared" si="24"/>
        <v>142.80000000000001</v>
      </c>
      <c r="V36" s="4">
        <f t="shared" si="25"/>
        <v>142.74</v>
      </c>
      <c r="W36" s="4">
        <f>(0.03*(VLOOKUP(YEAR(A36),Resumen!$O$7:$P$12,2,0))*Resumen!$B$8)</f>
        <v>24</v>
      </c>
      <c r="X36" s="4">
        <f>IF(Resumen!$B$9="Sí",(((R36*0.03)+(VLOOKUP(YEAR(A36),Resumen!$O$7:$P$12,2,0)*0.05))*DATEDIF(MAX("1/5/2008",Resumen!$B$6),A36,"y")),(((R36*0.03)+(VLOOKUP(YEAR(A36),Resumen!$O$7:$P$12,2,0)*0.05))*DATEDIF(Resumen!$B$6,A36,"y")))</f>
        <v>653.6</v>
      </c>
      <c r="Y36" s="3">
        <v>50</v>
      </c>
      <c r="Z36" s="1">
        <f>IF(Resumen!$B$9="Sí",IF(DATEDIF("1/5/2008",A36,"M")/12=5,R36/2,IF(DATEDIF("1/5/2008",A36,"M")/12=10,R36,IF(DATEDIF("1/5/2008",A36,"M")/12=15,R36*1.5,IF(DATEDIF("1/5/2008",A36,"M")/12=20,R36*2,0)))),IF(DATEDIF(Resumen!$B$6,A36,"M")/12=5,R36/2,IF(DATEDIF(Resumen!$B$6,A36,"M")/12=10,R36,IF(DATEDIF(Resumen!$B$6,A36,"M")/12=15,R36*1.5,IF(DATEDIF(Resumen!$B$6,A36,"M")/12=20,R36*2,IF(DATEDIF(Resumen!$B$6,A36,"M")/12=25,R36*2.5,IF(DATEDIF(Resumen!$B$6,A36,"M")/12=30,R36*3)))))))</f>
        <v>0</v>
      </c>
      <c r="AA36" s="19">
        <f>(IF(Resumen!$B$20="Sí",IF(Resumen!$C$20&lt;=A36,IF(DATEDIF(Resumen!$C$20,A36,"Y")&lt;8,VLOOKUP(YEAR(A36),Resumen!$O$7:$P$12,2,0),0),0),0))+(IF(Resumen!$B$21="Sí",IF(Resumen!$C$21&lt;=A36,IF(DATEDIF(Resumen!$C$21,A36,"Y")&lt;8,VLOOKUP(YEAR(A36),Resumen!$O$7:$P$12,2,0),0),0),0))</f>
        <v>0</v>
      </c>
      <c r="AB36" s="1">
        <f>IF(MONTH(A36)=12,VLOOKUP(YEAR(A36),Resumen!$O$7:$P$12,2,0),0)</f>
        <v>0</v>
      </c>
      <c r="AC36" s="1">
        <f t="shared" si="28"/>
        <v>0</v>
      </c>
      <c r="AD36" s="19">
        <f>(IF(Resumen!$B$25="Sí",IF(DATE(YEAR(Resumen!$C$25),MONTH(Resumen!$C$25),1)=A36,1000,0)+(IF(Resumen!$B$26="Sí",IF(DATE(YEAR(Resumen!$C$26),MONTH(Resumen!$C$26),1)=A36,1000,0),0)),0))</f>
        <v>0</v>
      </c>
      <c r="AE36" s="1">
        <v>0</v>
      </c>
      <c r="AF36" s="1">
        <v>0</v>
      </c>
      <c r="AG36" s="19">
        <v>130</v>
      </c>
      <c r="AH36" s="1">
        <v>0</v>
      </c>
      <c r="AI36" s="19">
        <f>IF(MONTH(A36)=12,IF(Resumen!$B$9="Sí",(15+DATEDIF("1/5/2008",A36,"y")-5)*50,(15+DATEDIF(Resumen!$B$6,A36,"y")-5)*50),0)</f>
        <v>0</v>
      </c>
      <c r="AJ36" s="5">
        <f>IF(Resumen!$B$13="No",IF(Resumen!$B$12="No",20,100),0)</f>
        <v>20</v>
      </c>
      <c r="AK36" s="1">
        <f>IF(Resumen!$B$14="Código",(R36+S36+T36+X36)*9.45%*-1,(R36+S36+T36+X36)*11.45%*-1)</f>
        <v>-271.04439999999994</v>
      </c>
      <c r="AM36" s="3">
        <f t="shared" si="29"/>
        <v>300</v>
      </c>
      <c r="AN36" s="4">
        <f t="shared" si="30"/>
        <v>0</v>
      </c>
      <c r="AO36" s="4">
        <f t="shared" si="31"/>
        <v>40</v>
      </c>
      <c r="AP36" s="4">
        <f t="shared" si="32"/>
        <v>25.560000000000016</v>
      </c>
      <c r="AQ36" s="4">
        <f t="shared" si="33"/>
        <v>25.540000000000006</v>
      </c>
      <c r="AR36" s="4">
        <f t="shared" si="34"/>
        <v>620.27</v>
      </c>
      <c r="AS36" s="4">
        <f t="shared" si="35"/>
        <v>24</v>
      </c>
      <c r="AT36" s="4">
        <f t="shared" si="36"/>
        <v>50</v>
      </c>
      <c r="AU36" s="6">
        <f t="shared" si="37"/>
        <v>0</v>
      </c>
      <c r="AV36" s="6">
        <f t="shared" si="38"/>
        <v>0</v>
      </c>
      <c r="AW36" s="6">
        <f t="shared" si="39"/>
        <v>0</v>
      </c>
      <c r="AX36" s="6">
        <f t="shared" si="40"/>
        <v>20</v>
      </c>
      <c r="AY36" s="6">
        <f t="shared" si="41"/>
        <v>0</v>
      </c>
      <c r="AZ36" s="6">
        <f t="shared" si="42"/>
        <v>0</v>
      </c>
      <c r="BA36" s="6">
        <f t="shared" si="43"/>
        <v>0</v>
      </c>
      <c r="BB36" s="6">
        <f t="shared" si="44"/>
        <v>-109.95091499999998</v>
      </c>
      <c r="BD36" s="3">
        <f t="shared" si="45"/>
        <v>995.41908499999988</v>
      </c>
      <c r="BE36" s="3">
        <v>0</v>
      </c>
    </row>
    <row r="37" spans="1:57" x14ac:dyDescent="0.25">
      <c r="A37" s="7">
        <v>44136</v>
      </c>
      <c r="B37" s="9">
        <f>IF(Resumen!$B$14="Código",IF(A37&lt;DATE(2021,7,1),Resumen!$B$7,Resumen!$B$7+300),IF(A37&lt;DATE(2022,3,1),Resumen!$B$7,Resumen!$B$7+300))</f>
        <v>1212</v>
      </c>
      <c r="C37" s="76">
        <f>Detalle!C37</f>
        <v>0</v>
      </c>
      <c r="D37" s="76">
        <f>Detalle!D37</f>
        <v>8</v>
      </c>
      <c r="E37" s="4">
        <f t="shared" si="18"/>
        <v>0</v>
      </c>
      <c r="F37" s="4">
        <f t="shared" si="19"/>
        <v>80.8</v>
      </c>
      <c r="G37" s="4">
        <f>IF(Resumen!$B$14="Código",IF(A37&lt;DATE(2021,7,1),(Resumen!$B$7*0.25%)*DATEDIF("1/1/2009",A37,"y"),IF(Resumen!$B$9="Sí",(((B37*0.03)+(VLOOKUP(YEAR(A37),Resumen!$O$7:$P$12,2,0)*0.05))*DATEDIF(MAX("1/5/2008",Resumen!$B$6),A37,"y")),(((B37*0.03)+(VLOOKUP(YEAR(A37),Resumen!$O$7:$P$12,2,0)*0.05))*DATEDIF(Resumen!$B$6,A37,"y")))),IF(A37&lt;DATE(2022,3,1),(Resumen!$B$7*0.25%)*DATEDIF("1/1/2009",A37,"y"),IF(Resumen!$B$9="Sí",(((B37*0.03)+(VLOOKUP(YEAR(A37),Resumen!$O$7:$P$12,2,0)*0.05))*DATEDIF(MAX("1/5/2008",Resumen!$B$6),A37,"y")),(((B37*0.03)+(VLOOKUP(YEAR(A37),Resumen!$O$7:$P$12,2,0)*0.05))*DATEDIF(Resumen!$B$6,A37,"y")))))</f>
        <v>33.330000000000005</v>
      </c>
      <c r="H37" s="4">
        <f t="shared" si="20"/>
        <v>110.51</v>
      </c>
      <c r="I37" s="4">
        <f t="shared" si="21"/>
        <v>110.47</v>
      </c>
      <c r="J37" s="1">
        <f>IF(Resumen!$B$14="Código",IF(A37&lt;DATE(2021,7,1),0,(0.03*(VLOOKUP(YEAR(A37),Resumen!$O$7:$P$12,2,0))*Resumen!$B$8)),IF(A37&lt;DATE(2022,3,1),0,(0.03*(VLOOKUP(YEAR(A37),Resumen!$O$7:$P$12,2,0))*Resumen!$B$8)))</f>
        <v>0</v>
      </c>
      <c r="K37" s="1">
        <f>IF(Resumen!$B$14="Código",IF(A37&lt;DATE(2021,7,1),0,50),IF(A37&lt;DATE(2022,3,1),0,50))</f>
        <v>0</v>
      </c>
      <c r="L37" s="1">
        <v>0</v>
      </c>
      <c r="M37" s="1">
        <v>0</v>
      </c>
      <c r="N37" s="1">
        <v>0</v>
      </c>
      <c r="O37" s="1">
        <v>0</v>
      </c>
      <c r="P37" s="1">
        <f>IF(Resumen!$B$14="Código",(B37+E37+F37+G37)*9.45%*-1,(B37+E37+F37+G37)*11.45%*-1)</f>
        <v>-151.84188499999996</v>
      </c>
      <c r="Q37" s="3"/>
      <c r="R37" s="9">
        <f t="shared" si="27"/>
        <v>1512</v>
      </c>
      <c r="S37" s="4">
        <f t="shared" si="22"/>
        <v>0</v>
      </c>
      <c r="T37" s="4">
        <f t="shared" si="23"/>
        <v>100.8</v>
      </c>
      <c r="U37" s="4">
        <f t="shared" si="24"/>
        <v>134.4</v>
      </c>
      <c r="V37" s="4">
        <f t="shared" si="25"/>
        <v>134.35</v>
      </c>
      <c r="W37" s="4">
        <f>(0.03*(VLOOKUP(YEAR(A37),Resumen!$O$7:$P$12,2,0))*Resumen!$B$8)</f>
        <v>24</v>
      </c>
      <c r="X37" s="4">
        <f>IF(Resumen!$B$9="Sí",(((R37*0.03)+(VLOOKUP(YEAR(A37),Resumen!$O$7:$P$12,2,0)*0.05))*DATEDIF(MAX("1/5/2008",Resumen!$B$6),A37,"y")),(((R37*0.03)+(VLOOKUP(YEAR(A37),Resumen!$O$7:$P$12,2,0)*0.05))*DATEDIF(Resumen!$B$6,A37,"y")))</f>
        <v>653.6</v>
      </c>
      <c r="Y37" s="3">
        <v>50</v>
      </c>
      <c r="Z37" s="1">
        <f>IF(Resumen!$B$9="Sí",IF(DATEDIF("1/5/2008",A37,"M")/12=5,R37/2,IF(DATEDIF("1/5/2008",A37,"M")/12=10,R37,IF(DATEDIF("1/5/2008",A37,"M")/12=15,R37*1.5,IF(DATEDIF("1/5/2008",A37,"M")/12=20,R37*2,0)))),IF(DATEDIF(Resumen!$B$6,A37,"M")/12=5,R37/2,IF(DATEDIF(Resumen!$B$6,A37,"M")/12=10,R37,IF(DATEDIF(Resumen!$B$6,A37,"M")/12=15,R37*1.5,IF(DATEDIF(Resumen!$B$6,A37,"M")/12=20,R37*2,IF(DATEDIF(Resumen!$B$6,A37,"M")/12=25,R37*2.5,IF(DATEDIF(Resumen!$B$6,A37,"M")/12=30,R37*3)))))))</f>
        <v>0</v>
      </c>
      <c r="AA37" s="19">
        <f>(IF(Resumen!$B$20="Sí",IF(Resumen!$C$20&lt;=A37,IF(DATEDIF(Resumen!$C$20,A37,"Y")&lt;8,VLOOKUP(YEAR(A37),Resumen!$O$7:$P$12,2,0),0),0),0))+(IF(Resumen!$B$21="Sí",IF(Resumen!$C$21&lt;=A37,IF(DATEDIF(Resumen!$C$21,A37,"Y")&lt;8,VLOOKUP(YEAR(A37),Resumen!$O$7:$P$12,2,0),0),0),0))</f>
        <v>0</v>
      </c>
      <c r="AB37" s="1">
        <f>IF(MONTH(A37)=12,VLOOKUP(YEAR(A37),Resumen!$O$7:$P$12,2,0),0)</f>
        <v>0</v>
      </c>
      <c r="AC37" s="1">
        <f t="shared" si="28"/>
        <v>0</v>
      </c>
      <c r="AD37" s="19">
        <f>(IF(Resumen!$B$25="Sí",IF(DATE(YEAR(Resumen!$C$25),MONTH(Resumen!$C$25),1)=A37,1000,0)+(IF(Resumen!$B$26="Sí",IF(DATE(YEAR(Resumen!$C$26),MONTH(Resumen!$C$26),1)=A37,1000,0),0)),0))</f>
        <v>0</v>
      </c>
      <c r="AE37" s="1">
        <v>0</v>
      </c>
      <c r="AF37" s="1">
        <v>0</v>
      </c>
      <c r="AG37" s="19">
        <v>130</v>
      </c>
      <c r="AH37" s="1">
        <v>0</v>
      </c>
      <c r="AI37" s="19">
        <f>IF(MONTH(A37)=12,IF(Resumen!$B$9="Sí",(15+DATEDIF("1/5/2008",A37,"y")-5)*50,(15+DATEDIF(Resumen!$B$6,A37,"y")-5)*50),0)</f>
        <v>0</v>
      </c>
      <c r="AJ37" s="5">
        <f>IF(Resumen!$B$13="No",IF(Resumen!$B$12="No",20,100),0)</f>
        <v>20</v>
      </c>
      <c r="AK37" s="1">
        <f>IF(Resumen!$B$14="Código",(R37+S37+T37+X37)*9.45%*-1,(R37+S37+T37+X37)*11.45%*-1)</f>
        <v>-259.50279999999998</v>
      </c>
      <c r="AM37" s="3">
        <f t="shared" si="29"/>
        <v>300</v>
      </c>
      <c r="AN37" s="4">
        <f t="shared" si="30"/>
        <v>0</v>
      </c>
      <c r="AO37" s="4">
        <f t="shared" si="31"/>
        <v>20</v>
      </c>
      <c r="AP37" s="4">
        <f t="shared" si="32"/>
        <v>23.89</v>
      </c>
      <c r="AQ37" s="4">
        <f t="shared" si="33"/>
        <v>23.879999999999995</v>
      </c>
      <c r="AR37" s="4">
        <f t="shared" si="34"/>
        <v>620.27</v>
      </c>
      <c r="AS37" s="4">
        <f t="shared" si="35"/>
        <v>24</v>
      </c>
      <c r="AT37" s="4">
        <f t="shared" si="36"/>
        <v>50</v>
      </c>
      <c r="AU37" s="6">
        <f t="shared" si="37"/>
        <v>0</v>
      </c>
      <c r="AV37" s="6">
        <f t="shared" si="38"/>
        <v>0</v>
      </c>
      <c r="AW37" s="6">
        <f t="shared" si="39"/>
        <v>0</v>
      </c>
      <c r="AX37" s="6">
        <f t="shared" si="40"/>
        <v>20</v>
      </c>
      <c r="AY37" s="6">
        <f t="shared" si="41"/>
        <v>0</v>
      </c>
      <c r="AZ37" s="6">
        <f t="shared" si="42"/>
        <v>0</v>
      </c>
      <c r="BA37" s="6">
        <f t="shared" si="43"/>
        <v>0</v>
      </c>
      <c r="BB37" s="6">
        <f t="shared" si="44"/>
        <v>-107.66091500000002</v>
      </c>
      <c r="BD37" s="3">
        <f t="shared" si="45"/>
        <v>974.37908499999992</v>
      </c>
      <c r="BE37" s="3">
        <v>0</v>
      </c>
    </row>
    <row r="38" spans="1:57" x14ac:dyDescent="0.25">
      <c r="A38" s="7">
        <v>44166</v>
      </c>
      <c r="B38" s="9">
        <f>IF(Resumen!$B$14="Código",IF(A38&lt;DATE(2021,7,1),Resumen!$B$7,Resumen!$B$7+300),IF(A38&lt;DATE(2022,3,1),Resumen!$B$7,Resumen!$B$7+300))</f>
        <v>1212</v>
      </c>
      <c r="C38" s="76">
        <f>Detalle!C38</f>
        <v>0</v>
      </c>
      <c r="D38" s="76">
        <f>Detalle!D38</f>
        <v>8</v>
      </c>
      <c r="E38" s="4">
        <f t="shared" si="18"/>
        <v>0</v>
      </c>
      <c r="F38" s="4">
        <f t="shared" si="19"/>
        <v>80.8</v>
      </c>
      <c r="G38" s="4">
        <f>IF(Resumen!$B$14="Código",IF(A38&lt;DATE(2021,7,1),(Resumen!$B$7*0.25%)*DATEDIF("1/1/2009",A38,"y"),IF(Resumen!$B$9="Sí",(((B38*0.03)+(VLOOKUP(YEAR(A38),Resumen!$O$7:$P$12,2,0)*0.05))*DATEDIF(MAX("1/5/2008",Resumen!$B$6),A38,"y")),(((B38*0.03)+(VLOOKUP(YEAR(A38),Resumen!$O$7:$P$12,2,0)*0.05))*DATEDIF(Resumen!$B$6,A38,"y")))),IF(A38&lt;DATE(2022,3,1),(Resumen!$B$7*0.25%)*DATEDIF("1/1/2009",A38,"y"),IF(Resumen!$B$9="Sí",(((B38*0.03)+(VLOOKUP(YEAR(A38),Resumen!$O$7:$P$12,2,0)*0.05))*DATEDIF(MAX("1/5/2008",Resumen!$B$6),A38,"y")),(((B38*0.03)+(VLOOKUP(YEAR(A38),Resumen!$O$7:$P$12,2,0)*0.05))*DATEDIF(Resumen!$B$6,A38,"y")))))</f>
        <v>33.330000000000005</v>
      </c>
      <c r="H38" s="4">
        <f t="shared" si="20"/>
        <v>110.51</v>
      </c>
      <c r="I38" s="4">
        <f t="shared" si="21"/>
        <v>110.47</v>
      </c>
      <c r="J38" s="1">
        <f>IF(Resumen!$B$14="Código",IF(A38&lt;DATE(2021,7,1),0,(0.03*(VLOOKUP(YEAR(A38),Resumen!$O$7:$P$12,2,0))*Resumen!$B$8)),IF(A38&lt;DATE(2022,3,1),0,(0.03*(VLOOKUP(YEAR(A38),Resumen!$O$7:$P$12,2,0))*Resumen!$B$8)))</f>
        <v>0</v>
      </c>
      <c r="K38" s="1">
        <f>IF(Resumen!$B$14="Código",IF(A38&lt;DATE(2021,7,1),0,50),IF(A38&lt;DATE(2022,3,1),0,50))</f>
        <v>0</v>
      </c>
      <c r="L38" s="1">
        <v>0</v>
      </c>
      <c r="M38" s="1">
        <v>0</v>
      </c>
      <c r="N38" s="1">
        <v>0</v>
      </c>
      <c r="O38" s="1">
        <v>0</v>
      </c>
      <c r="P38" s="1">
        <f>IF(Resumen!$B$14="Código",(B38+E38+F38+G38)*9.45%*-1,(B38+E38+F38+G38)*11.45%*-1)</f>
        <v>-151.84188499999996</v>
      </c>
      <c r="Q38" s="3"/>
      <c r="R38" s="9">
        <f t="shared" si="27"/>
        <v>1512</v>
      </c>
      <c r="S38" s="4">
        <f t="shared" si="22"/>
        <v>0</v>
      </c>
      <c r="T38" s="4">
        <f t="shared" si="23"/>
        <v>100.8</v>
      </c>
      <c r="U38" s="4">
        <f t="shared" si="24"/>
        <v>134.4</v>
      </c>
      <c r="V38" s="4">
        <f t="shared" si="25"/>
        <v>134.35</v>
      </c>
      <c r="W38" s="4">
        <f>(0.03*(VLOOKUP(YEAR(A38),Resumen!$O$7:$P$12,2,0))*Resumen!$B$8)</f>
        <v>24</v>
      </c>
      <c r="X38" s="4">
        <f>IF(Resumen!$B$9="Sí",(((R38*0.03)+(VLOOKUP(YEAR(A38),Resumen!$O$7:$P$12,2,0)*0.05))*DATEDIF(MAX("1/5/2008",Resumen!$B$6),A38,"y")),(((R38*0.03)+(VLOOKUP(YEAR(A38),Resumen!$O$7:$P$12,2,0)*0.05))*DATEDIF(Resumen!$B$6,A38,"y")))</f>
        <v>653.6</v>
      </c>
      <c r="Y38" s="3">
        <v>50</v>
      </c>
      <c r="Z38" s="1">
        <f>IF(Resumen!$B$9="Sí",IF(DATEDIF("1/5/2008",A38,"M")/12=5,R38/2,IF(DATEDIF("1/5/2008",A38,"M")/12=10,R38,IF(DATEDIF("1/5/2008",A38,"M")/12=15,R38*1.5,IF(DATEDIF("1/5/2008",A38,"M")/12=20,R38*2,0)))),IF(DATEDIF(Resumen!$B$6,A38,"M")/12=5,R38/2,IF(DATEDIF(Resumen!$B$6,A38,"M")/12=10,R38,IF(DATEDIF(Resumen!$B$6,A38,"M")/12=15,R38*1.5,IF(DATEDIF(Resumen!$B$6,A38,"M")/12=20,R38*2,IF(DATEDIF(Resumen!$B$6,A38,"M")/12=25,R38*2.5,IF(DATEDIF(Resumen!$B$6,A38,"M")/12=30,R38*3)))))))</f>
        <v>0</v>
      </c>
      <c r="AA38" s="19">
        <f>(IF(Resumen!$B$20="Sí",IF(Resumen!$C$20&lt;=A38,IF(DATEDIF(Resumen!$C$20,A38,"Y")&lt;8,VLOOKUP(YEAR(A38),Resumen!$O$7:$P$12,2,0),0),0),0))+(IF(Resumen!$B$21="Sí",IF(Resumen!$C$21&lt;=A38,IF(DATEDIF(Resumen!$C$21,A38,"Y")&lt;8,VLOOKUP(YEAR(A38),Resumen!$O$7:$P$12,2,0),0),0),0))</f>
        <v>0</v>
      </c>
      <c r="AB38" s="1">
        <f>IF(MONTH(A38)=12,VLOOKUP(YEAR(A38),Resumen!$O$7:$P$12,2,0),0)</f>
        <v>400</v>
      </c>
      <c r="AC38" s="1">
        <f t="shared" si="28"/>
        <v>100</v>
      </c>
      <c r="AD38" s="19">
        <f>(IF(Resumen!$B$25="Sí",IF(DATE(YEAR(Resumen!$C$25),MONTH(Resumen!$C$25),1)=A38,1000,0)+(IF(Resumen!$B$26="Sí",IF(DATE(YEAR(Resumen!$C$26),MONTH(Resumen!$C$26),1)=A38,1000,0),0)),0))</f>
        <v>0</v>
      </c>
      <c r="AE38" s="1">
        <v>0</v>
      </c>
      <c r="AF38" s="1">
        <v>0</v>
      </c>
      <c r="AG38" s="19">
        <v>130</v>
      </c>
      <c r="AH38" s="1">
        <v>0</v>
      </c>
      <c r="AI38" s="19">
        <f>IF(MONTH(A38)=12,IF(Resumen!$B$9="Sí",(15+DATEDIF("1/5/2008",A38,"y")-5)*50,(15+DATEDIF(Resumen!$B$6,A38,"y")-5)*50),0)</f>
        <v>1100</v>
      </c>
      <c r="AJ38" s="5">
        <f>IF(Resumen!$B$13="No",IF(Resumen!$B$12="No",20,100),0)</f>
        <v>20</v>
      </c>
      <c r="AK38" s="1">
        <f>IF(Resumen!$B$14="Código",(R38+S38+T38+X38)*9.45%*-1,(R38+S38+T38+X38)*11.45%*-1)</f>
        <v>-259.50279999999998</v>
      </c>
      <c r="AM38" s="3">
        <f t="shared" si="29"/>
        <v>300</v>
      </c>
      <c r="AN38" s="4">
        <f t="shared" si="30"/>
        <v>0</v>
      </c>
      <c r="AO38" s="4">
        <f t="shared" si="31"/>
        <v>20</v>
      </c>
      <c r="AP38" s="4">
        <f t="shared" si="32"/>
        <v>23.89</v>
      </c>
      <c r="AQ38" s="4">
        <f t="shared" si="33"/>
        <v>23.879999999999995</v>
      </c>
      <c r="AR38" s="4">
        <f t="shared" si="34"/>
        <v>620.27</v>
      </c>
      <c r="AS38" s="4">
        <f t="shared" si="35"/>
        <v>24</v>
      </c>
      <c r="AT38" s="4">
        <f t="shared" si="36"/>
        <v>50</v>
      </c>
      <c r="AU38" s="6">
        <f t="shared" si="37"/>
        <v>400</v>
      </c>
      <c r="AV38" s="6">
        <f t="shared" si="38"/>
        <v>100</v>
      </c>
      <c r="AW38" s="6">
        <f t="shared" si="39"/>
        <v>0</v>
      </c>
      <c r="AX38" s="6">
        <f t="shared" si="40"/>
        <v>20</v>
      </c>
      <c r="AY38" s="6">
        <f t="shared" si="41"/>
        <v>0</v>
      </c>
      <c r="AZ38" s="6">
        <f t="shared" si="42"/>
        <v>0</v>
      </c>
      <c r="BA38" s="6">
        <f t="shared" si="43"/>
        <v>1100</v>
      </c>
      <c r="BB38" s="6">
        <f t="shared" si="44"/>
        <v>-107.66091500000002</v>
      </c>
      <c r="BD38" s="3">
        <f t="shared" si="45"/>
        <v>2574.379085</v>
      </c>
      <c r="BE38" s="3">
        <v>0</v>
      </c>
    </row>
    <row r="39" spans="1:57" x14ac:dyDescent="0.25">
      <c r="A39" s="7">
        <v>44197</v>
      </c>
      <c r="B39" s="9">
        <f>IF(Resumen!$B$14="Código",IF(A39&lt;DATE(2021,7,1),Resumen!$B$7,Resumen!$B$7+300),IF(A39&lt;DATE(2022,3,1),Resumen!$B$7,Resumen!$B$7+300))</f>
        <v>1212</v>
      </c>
      <c r="C39" s="76">
        <f>Detalle!C39</f>
        <v>0</v>
      </c>
      <c r="D39" s="76">
        <f>Detalle!D39</f>
        <v>0</v>
      </c>
      <c r="E39" s="4">
        <f t="shared" si="18"/>
        <v>0</v>
      </c>
      <c r="F39" s="4">
        <f t="shared" si="19"/>
        <v>0</v>
      </c>
      <c r="G39" s="4">
        <f>IF(Resumen!$B$14="Código",IF(A39&lt;DATE(2021,7,1),(Resumen!$B$7*0.25%)*DATEDIF("1/1/2009",A39,"y"),IF(Resumen!$B$9="Sí",(((B39*0.03)+(VLOOKUP(YEAR(A39),Resumen!$O$7:$P$12,2,0)*0.05))*DATEDIF(MAX("1/5/2008",Resumen!$B$6),A39,"y")),(((B39*0.03)+(VLOOKUP(YEAR(A39),Resumen!$O$7:$P$12,2,0)*0.05))*DATEDIF(Resumen!$B$6,A39,"y")))),IF(A39&lt;DATE(2022,3,1),(Resumen!$B$7*0.25%)*DATEDIF("1/1/2009",A39,"y"),IF(Resumen!$B$9="Sí",(((B39*0.03)+(VLOOKUP(YEAR(A39),Resumen!$O$7:$P$12,2,0)*0.05))*DATEDIF(MAX("1/5/2008",Resumen!$B$6),A39,"y")),(((B39*0.03)+(VLOOKUP(YEAR(A39),Resumen!$O$7:$P$12,2,0)*0.05))*DATEDIF(Resumen!$B$6,A39,"y")))))</f>
        <v>36.36</v>
      </c>
      <c r="H39" s="4">
        <f t="shared" si="20"/>
        <v>104.03</v>
      </c>
      <c r="I39" s="4">
        <f t="shared" si="21"/>
        <v>103.99</v>
      </c>
      <c r="J39" s="1">
        <f>IF(Resumen!$B$14="Código",IF(A39&lt;DATE(2021,7,1),0,(0.03*(VLOOKUP(YEAR(A39),Resumen!$O$7:$P$12,2,0))*Resumen!$B$8)),IF(A39&lt;DATE(2022,3,1),0,(0.03*(VLOOKUP(YEAR(A39),Resumen!$O$7:$P$12,2,0))*Resumen!$B$8)))</f>
        <v>0</v>
      </c>
      <c r="K39" s="1">
        <f>IF(Resumen!$B$14="Código",IF(A39&lt;DATE(2021,7,1),0,50),IF(A39&lt;DATE(2022,3,1),0,50))</f>
        <v>0</v>
      </c>
      <c r="L39" s="1">
        <v>0</v>
      </c>
      <c r="M39" s="1">
        <v>0</v>
      </c>
      <c r="N39" s="1">
        <v>0</v>
      </c>
      <c r="O39" s="1">
        <v>0</v>
      </c>
      <c r="P39" s="1">
        <f>IF(Resumen!$B$14="Código",(B39+E39+F39+G39)*9.45%*-1,(B39+E39+F39+G39)*11.45%*-1)</f>
        <v>-142.93721999999997</v>
      </c>
      <c r="Q39" s="3"/>
      <c r="R39" s="9">
        <f t="shared" si="27"/>
        <v>1512</v>
      </c>
      <c r="S39" s="4">
        <f t="shared" si="22"/>
        <v>0</v>
      </c>
      <c r="T39" s="4">
        <f t="shared" si="23"/>
        <v>0</v>
      </c>
      <c r="U39" s="4">
        <f t="shared" si="24"/>
        <v>126</v>
      </c>
      <c r="V39" s="4">
        <f t="shared" si="25"/>
        <v>125.95</v>
      </c>
      <c r="W39" s="4">
        <f>(0.03*(VLOOKUP(YEAR(A39),Resumen!$O$7:$P$12,2,0))*Resumen!$B$8)</f>
        <v>24</v>
      </c>
      <c r="X39" s="4">
        <f>IF(Resumen!$B$9="Sí",(((R39*0.03)+(VLOOKUP(YEAR(A39),Resumen!$O$7:$P$12,2,0)*0.05))*DATEDIF(MAX("1/5/2008",Resumen!$B$6),A39,"y")),(((R39*0.03)+(VLOOKUP(YEAR(A39),Resumen!$O$7:$P$12,2,0)*0.05))*DATEDIF(Resumen!$B$6,A39,"y")))</f>
        <v>653.6</v>
      </c>
      <c r="Y39" s="3">
        <v>50</v>
      </c>
      <c r="Z39" s="1">
        <f>IF(Resumen!$B$9="Sí",IF(DATEDIF("1/5/2008",A39,"M")/12=5,R39/2,IF(DATEDIF("1/5/2008",A39,"M")/12=10,R39,IF(DATEDIF("1/5/2008",A39,"M")/12=15,R39*1.5,IF(DATEDIF("1/5/2008",A39,"M")/12=20,R39*2,0)))),IF(DATEDIF(Resumen!$B$6,A39,"M")/12=5,R39/2,IF(DATEDIF(Resumen!$B$6,A39,"M")/12=10,R39,IF(DATEDIF(Resumen!$B$6,A39,"M")/12=15,R39*1.5,IF(DATEDIF(Resumen!$B$6,A39,"M")/12=20,R39*2,IF(DATEDIF(Resumen!$B$6,A39,"M")/12=25,R39*2.5,IF(DATEDIF(Resumen!$B$6,A39,"M")/12=30,R39*3)))))))</f>
        <v>0</v>
      </c>
      <c r="AA39" s="19">
        <f>(IF(Resumen!$B$20="Sí",IF(Resumen!$C$20&lt;=A39,IF(DATEDIF(Resumen!$C$20,A39,"Y")&lt;8,VLOOKUP(YEAR(A39),Resumen!$O$7:$P$12,2,0),0),0),0))+(IF(Resumen!$B$21="Sí",IF(Resumen!$C$21&lt;=A39,IF(DATEDIF(Resumen!$C$21,A39,"Y")&lt;8,VLOOKUP(YEAR(A39),Resumen!$O$7:$P$12,2,0),0),0),0))</f>
        <v>0</v>
      </c>
      <c r="AB39" s="1">
        <f>IF(MONTH(A39)=12,VLOOKUP(YEAR(A39),Resumen!$O$7:$P$12,2,0),0)</f>
        <v>0</v>
      </c>
      <c r="AC39" s="1">
        <f t="shared" si="28"/>
        <v>0</v>
      </c>
      <c r="AD39" s="19">
        <f>(IF(Resumen!$B$25="Sí",IF(DATE(YEAR(Resumen!$C$25),MONTH(Resumen!$C$25),1)=A39,1000,0)+(IF(Resumen!$B$26="Sí",IF(DATE(YEAR(Resumen!$C$26),MONTH(Resumen!$C$26),1)=A39,1000,0),0)),0))</f>
        <v>0</v>
      </c>
      <c r="AE39" s="1">
        <v>0</v>
      </c>
      <c r="AF39" s="1">
        <v>0</v>
      </c>
      <c r="AG39" s="19">
        <v>130</v>
      </c>
      <c r="AH39" s="1">
        <v>0</v>
      </c>
      <c r="AI39" s="19">
        <f>IF(MONTH(A39)=12,IF(Resumen!$B$9="Sí",(15+DATEDIF("1/5/2008",A39,"y")-5)*50,(15+DATEDIF(Resumen!$B$6,A39,"y")-5)*50),0)</f>
        <v>0</v>
      </c>
      <c r="AJ39" s="5">
        <f>IF(Resumen!$B$13="No",IF(Resumen!$B$12="No",20,100),0)</f>
        <v>20</v>
      </c>
      <c r="AK39" s="1">
        <f>IF(Resumen!$B$14="Código",(R39+S39+T39+X39)*9.45%*-1,(R39+S39+T39+X39)*11.45%*-1)</f>
        <v>-247.96119999999996</v>
      </c>
      <c r="AM39" s="3">
        <f t="shared" si="29"/>
        <v>300</v>
      </c>
      <c r="AN39" s="4">
        <f t="shared" si="30"/>
        <v>0</v>
      </c>
      <c r="AO39" s="4">
        <f t="shared" si="31"/>
        <v>0</v>
      </c>
      <c r="AP39" s="4">
        <f t="shared" si="32"/>
        <v>21.97</v>
      </c>
      <c r="AQ39" s="4">
        <f t="shared" si="33"/>
        <v>21.960000000000008</v>
      </c>
      <c r="AR39" s="4">
        <f t="shared" si="34"/>
        <v>617.24</v>
      </c>
      <c r="AS39" s="4">
        <f t="shared" si="35"/>
        <v>24</v>
      </c>
      <c r="AT39" s="4">
        <f t="shared" si="36"/>
        <v>50</v>
      </c>
      <c r="AU39" s="6">
        <f t="shared" si="37"/>
        <v>0</v>
      </c>
      <c r="AV39" s="6">
        <f t="shared" si="38"/>
        <v>0</v>
      </c>
      <c r="AW39" s="6">
        <f t="shared" si="39"/>
        <v>0</v>
      </c>
      <c r="AX39" s="6">
        <f t="shared" si="40"/>
        <v>20</v>
      </c>
      <c r="AY39" s="6">
        <f t="shared" si="41"/>
        <v>0</v>
      </c>
      <c r="AZ39" s="6">
        <f t="shared" si="42"/>
        <v>0</v>
      </c>
      <c r="BA39" s="6">
        <f t="shared" si="43"/>
        <v>0</v>
      </c>
      <c r="BB39" s="6">
        <f t="shared" si="44"/>
        <v>-105.02397999999999</v>
      </c>
      <c r="BD39" s="3">
        <f t="shared" si="45"/>
        <v>950.14602000000014</v>
      </c>
      <c r="BE39" s="3">
        <v>0</v>
      </c>
    </row>
    <row r="40" spans="1:57" x14ac:dyDescent="0.25">
      <c r="A40" s="7">
        <v>44228</v>
      </c>
      <c r="B40" s="9">
        <f>IF(Resumen!$B$14="Código",IF(A40&lt;DATE(2021,7,1),Resumen!$B$7,Resumen!$B$7+300),IF(A40&lt;DATE(2022,3,1),Resumen!$B$7,Resumen!$B$7+300))</f>
        <v>1212</v>
      </c>
      <c r="C40" s="76">
        <f>Detalle!C40</f>
        <v>0</v>
      </c>
      <c r="D40" s="76">
        <f>Detalle!D40</f>
        <v>8</v>
      </c>
      <c r="E40" s="4">
        <f t="shared" si="18"/>
        <v>0</v>
      </c>
      <c r="F40" s="4">
        <f t="shared" si="19"/>
        <v>80.8</v>
      </c>
      <c r="G40" s="4">
        <f>IF(Resumen!$B$14="Código",IF(A40&lt;DATE(2021,7,1),(Resumen!$B$7*0.25%)*DATEDIF("1/1/2009",A40,"y"),IF(Resumen!$B$9="Sí",(((B40*0.03)+(VLOOKUP(YEAR(A40),Resumen!$O$7:$P$12,2,0)*0.05))*DATEDIF(MAX("1/5/2008",Resumen!$B$6),A40,"y")),(((B40*0.03)+(VLOOKUP(YEAR(A40),Resumen!$O$7:$P$12,2,0)*0.05))*DATEDIF(Resumen!$B$6,A40,"y")))),IF(A40&lt;DATE(2022,3,1),(Resumen!$B$7*0.25%)*DATEDIF("1/1/2009",A40,"y"),IF(Resumen!$B$9="Sí",(((B40*0.03)+(VLOOKUP(YEAR(A40),Resumen!$O$7:$P$12,2,0)*0.05))*DATEDIF(MAX("1/5/2008",Resumen!$B$6),A40,"y")),(((B40*0.03)+(VLOOKUP(YEAR(A40),Resumen!$O$7:$P$12,2,0)*0.05))*DATEDIF(Resumen!$B$6,A40,"y")))))</f>
        <v>36.36</v>
      </c>
      <c r="H40" s="4">
        <f t="shared" si="20"/>
        <v>110.76</v>
      </c>
      <c r="I40" s="4">
        <f t="shared" si="21"/>
        <v>110.72</v>
      </c>
      <c r="J40" s="1">
        <f>IF(Resumen!$B$14="Código",IF(A40&lt;DATE(2021,7,1),0,(0.03*(VLOOKUP(YEAR(A40),Resumen!$O$7:$P$12,2,0))*Resumen!$B$8)),IF(A40&lt;DATE(2022,3,1),0,(0.03*(VLOOKUP(YEAR(A40),Resumen!$O$7:$P$12,2,0))*Resumen!$B$8)))</f>
        <v>0</v>
      </c>
      <c r="K40" s="1">
        <f>IF(Resumen!$B$14="Código",IF(A40&lt;DATE(2021,7,1),0,50),IF(A40&lt;DATE(2022,3,1),0,50))</f>
        <v>0</v>
      </c>
      <c r="L40" s="1">
        <v>0</v>
      </c>
      <c r="M40" s="1">
        <v>0</v>
      </c>
      <c r="N40" s="1">
        <v>0</v>
      </c>
      <c r="O40" s="1">
        <v>0</v>
      </c>
      <c r="P40" s="1">
        <f>IF(Resumen!$B$14="Código",(B40+E40+F40+G40)*9.45%*-1,(B40+E40+F40+G40)*11.45%*-1)</f>
        <v>-152.18881999999996</v>
      </c>
      <c r="Q40" s="3"/>
      <c r="R40" s="9">
        <f t="shared" si="27"/>
        <v>1512</v>
      </c>
      <c r="S40" s="4">
        <f t="shared" si="22"/>
        <v>0</v>
      </c>
      <c r="T40" s="4">
        <f t="shared" si="23"/>
        <v>100.8</v>
      </c>
      <c r="U40" s="4">
        <f t="shared" si="24"/>
        <v>134.4</v>
      </c>
      <c r="V40" s="4">
        <f t="shared" si="25"/>
        <v>134.35</v>
      </c>
      <c r="W40" s="4">
        <f>(0.03*(VLOOKUP(YEAR(A40),Resumen!$O$7:$P$12,2,0))*Resumen!$B$8)</f>
        <v>24</v>
      </c>
      <c r="X40" s="4">
        <f>IF(Resumen!$B$9="Sí",(((R40*0.03)+(VLOOKUP(YEAR(A40),Resumen!$O$7:$P$12,2,0)*0.05))*DATEDIF(MAX("1/5/2008",Resumen!$B$6),A40,"y")),(((R40*0.03)+(VLOOKUP(YEAR(A40),Resumen!$O$7:$P$12,2,0)*0.05))*DATEDIF(Resumen!$B$6,A40,"y")))</f>
        <v>718.96</v>
      </c>
      <c r="Y40" s="3">
        <v>50</v>
      </c>
      <c r="Z40" s="1">
        <f>IF(Resumen!$B$9="Sí",IF(DATEDIF("1/5/2008",A40,"M")/12=5,R40/2,IF(DATEDIF("1/5/2008",A40,"M")/12=10,R40,IF(DATEDIF("1/5/2008",A40,"M")/12=15,R40*1.5,IF(DATEDIF("1/5/2008",A40,"M")/12=20,R40*2,0)))),IF(DATEDIF(Resumen!$B$6,A40,"M")/12=5,R40/2,IF(DATEDIF(Resumen!$B$6,A40,"M")/12=10,R40,IF(DATEDIF(Resumen!$B$6,A40,"M")/12=15,R40*1.5,IF(DATEDIF(Resumen!$B$6,A40,"M")/12=20,R40*2,IF(DATEDIF(Resumen!$B$6,A40,"M")/12=25,R40*2.5,IF(DATEDIF(Resumen!$B$6,A40,"M")/12=30,R40*3)))))))</f>
        <v>0</v>
      </c>
      <c r="AA40" s="19">
        <f>(IF(Resumen!$B$20="Sí",IF(Resumen!$C$20&lt;=A40,IF(DATEDIF(Resumen!$C$20,A40,"Y")&lt;8,VLOOKUP(YEAR(A40),Resumen!$O$7:$P$12,2,0),0),0),0))+(IF(Resumen!$B$21="Sí",IF(Resumen!$C$21&lt;=A40,IF(DATEDIF(Resumen!$C$21,A40,"Y")&lt;8,VLOOKUP(YEAR(A40),Resumen!$O$7:$P$12,2,0),0),0),0))</f>
        <v>0</v>
      </c>
      <c r="AB40" s="1">
        <f>IF(MONTH(A40)=12,VLOOKUP(YEAR(A40),Resumen!$O$7:$P$12,2,0),0)</f>
        <v>0</v>
      </c>
      <c r="AC40" s="1">
        <f t="shared" si="28"/>
        <v>0</v>
      </c>
      <c r="AD40" s="19">
        <f>(IF(Resumen!$B$25="Sí",IF(DATE(YEAR(Resumen!$C$25),MONTH(Resumen!$C$25),1)=A40,1000,0)+(IF(Resumen!$B$26="Sí",IF(DATE(YEAR(Resumen!$C$26),MONTH(Resumen!$C$26),1)=A40,1000,0),0)),0))</f>
        <v>0</v>
      </c>
      <c r="AE40" s="1">
        <v>0</v>
      </c>
      <c r="AF40" s="1">
        <v>0</v>
      </c>
      <c r="AG40" s="19">
        <v>130</v>
      </c>
      <c r="AH40" s="1">
        <v>0</v>
      </c>
      <c r="AI40" s="19">
        <f>IF(MONTH(A40)=12,IF(Resumen!$B$9="Sí",(15+DATEDIF("1/5/2008",A40,"y")-5)*50,(15+DATEDIF(Resumen!$B$6,A40,"y")-5)*50),0)</f>
        <v>0</v>
      </c>
      <c r="AJ40" s="5">
        <f>IF(Resumen!$B$13="No",IF(Resumen!$B$12="No",20,100),0)</f>
        <v>20</v>
      </c>
      <c r="AK40" s="1">
        <f>IF(Resumen!$B$14="Código",(R40+S40+T40+X40)*9.45%*-1,(R40+S40+T40+X40)*11.45%*-1)</f>
        <v>-266.98651999999998</v>
      </c>
      <c r="AM40" s="3">
        <f t="shared" si="29"/>
        <v>300</v>
      </c>
      <c r="AN40" s="4">
        <f t="shared" si="30"/>
        <v>0</v>
      </c>
      <c r="AO40" s="4">
        <f t="shared" si="31"/>
        <v>20</v>
      </c>
      <c r="AP40" s="4">
        <f t="shared" si="32"/>
        <v>23.64</v>
      </c>
      <c r="AQ40" s="4">
        <f t="shared" si="33"/>
        <v>23.629999999999995</v>
      </c>
      <c r="AR40" s="4">
        <f t="shared" si="34"/>
        <v>682.6</v>
      </c>
      <c r="AS40" s="4">
        <f t="shared" si="35"/>
        <v>24</v>
      </c>
      <c r="AT40" s="4">
        <f t="shared" si="36"/>
        <v>50</v>
      </c>
      <c r="AU40" s="6">
        <f t="shared" si="37"/>
        <v>0</v>
      </c>
      <c r="AV40" s="6">
        <f t="shared" si="38"/>
        <v>0</v>
      </c>
      <c r="AW40" s="6">
        <f t="shared" si="39"/>
        <v>0</v>
      </c>
      <c r="AX40" s="6">
        <f t="shared" si="40"/>
        <v>20</v>
      </c>
      <c r="AY40" s="6">
        <f t="shared" si="41"/>
        <v>0</v>
      </c>
      <c r="AZ40" s="6">
        <f t="shared" si="42"/>
        <v>0</v>
      </c>
      <c r="BA40" s="6">
        <f t="shared" si="43"/>
        <v>0</v>
      </c>
      <c r="BB40" s="6">
        <f t="shared" si="44"/>
        <v>-114.79770000000002</v>
      </c>
      <c r="BD40" s="3">
        <f t="shared" si="45"/>
        <v>1029.0722999999998</v>
      </c>
      <c r="BE40" s="3">
        <v>0</v>
      </c>
    </row>
    <row r="41" spans="1:57" x14ac:dyDescent="0.25">
      <c r="A41" s="7">
        <v>44256</v>
      </c>
      <c r="B41" s="9">
        <f>IF(Resumen!$B$14="Código",IF(A41&lt;DATE(2021,7,1),Resumen!$B$7,Resumen!$B$7+300),IF(A41&lt;DATE(2022,3,1),Resumen!$B$7,Resumen!$B$7+300))</f>
        <v>1212</v>
      </c>
      <c r="C41" s="76">
        <f>Detalle!C41</f>
        <v>0</v>
      </c>
      <c r="D41" s="76">
        <f>Detalle!D41</f>
        <v>0</v>
      </c>
      <c r="E41" s="4">
        <f t="shared" si="18"/>
        <v>0</v>
      </c>
      <c r="F41" s="4">
        <f t="shared" si="19"/>
        <v>0</v>
      </c>
      <c r="G41" s="4">
        <f>IF(Resumen!$B$14="Código",IF(A41&lt;DATE(2021,7,1),(Resumen!$B$7*0.25%)*DATEDIF("1/1/2009",A41,"y"),IF(Resumen!$B$9="Sí",(((B41*0.03)+(VLOOKUP(YEAR(A41),Resumen!$O$7:$P$12,2,0)*0.05))*DATEDIF(MAX("1/5/2008",Resumen!$B$6),A41,"y")),(((B41*0.03)+(VLOOKUP(YEAR(A41),Resumen!$O$7:$P$12,2,0)*0.05))*DATEDIF(Resumen!$B$6,A41,"y")))),IF(A41&lt;DATE(2022,3,1),(Resumen!$B$7*0.25%)*DATEDIF("1/1/2009",A41,"y"),IF(Resumen!$B$9="Sí",(((B41*0.03)+(VLOOKUP(YEAR(A41),Resumen!$O$7:$P$12,2,0)*0.05))*DATEDIF(MAX("1/5/2008",Resumen!$B$6),A41,"y")),(((B41*0.03)+(VLOOKUP(YEAR(A41),Resumen!$O$7:$P$12,2,0)*0.05))*DATEDIF(Resumen!$B$6,A41,"y")))))</f>
        <v>36.36</v>
      </c>
      <c r="H41" s="4">
        <f t="shared" si="20"/>
        <v>104.03</v>
      </c>
      <c r="I41" s="4">
        <f t="shared" si="21"/>
        <v>103.99</v>
      </c>
      <c r="J41" s="1">
        <f>IF(Resumen!$B$14="Código",IF(A41&lt;DATE(2021,7,1),0,(0.03*(VLOOKUP(YEAR(A41),Resumen!$O$7:$P$12,2,0))*Resumen!$B$8)),IF(A41&lt;DATE(2022,3,1),0,(0.03*(VLOOKUP(YEAR(A41),Resumen!$O$7:$P$12,2,0))*Resumen!$B$8)))</f>
        <v>0</v>
      </c>
      <c r="K41" s="1">
        <f>IF(Resumen!$B$14="Código",IF(A41&lt;DATE(2021,7,1),0,50),IF(A41&lt;DATE(2022,3,1),0,50))</f>
        <v>0</v>
      </c>
      <c r="L41" s="1">
        <v>0</v>
      </c>
      <c r="M41" s="1">
        <v>0</v>
      </c>
      <c r="N41" s="1">
        <v>0</v>
      </c>
      <c r="O41" s="1">
        <v>0</v>
      </c>
      <c r="P41" s="1">
        <f>IF(Resumen!$B$14="Código",(B41+E41+F41+G41)*9.45%*-1,(B41+E41+F41+G41)*11.45%*-1)</f>
        <v>-142.93721999999997</v>
      </c>
      <c r="Q41" s="3"/>
      <c r="R41" s="9">
        <f t="shared" si="27"/>
        <v>1512</v>
      </c>
      <c r="S41" s="4">
        <f t="shared" si="22"/>
        <v>0</v>
      </c>
      <c r="T41" s="4">
        <f t="shared" si="23"/>
        <v>0</v>
      </c>
      <c r="U41" s="4">
        <f t="shared" si="24"/>
        <v>126</v>
      </c>
      <c r="V41" s="4">
        <f t="shared" si="25"/>
        <v>125.95</v>
      </c>
      <c r="W41" s="4">
        <f>(0.03*(VLOOKUP(YEAR(A41),Resumen!$O$7:$P$12,2,0))*Resumen!$B$8)</f>
        <v>24</v>
      </c>
      <c r="X41" s="4">
        <f>IF(Resumen!$B$9="Sí",(((R41*0.03)+(VLOOKUP(YEAR(A41),Resumen!$O$7:$P$12,2,0)*0.05))*DATEDIF(MAX("1/5/2008",Resumen!$B$6),A41,"y")),(((R41*0.03)+(VLOOKUP(YEAR(A41),Resumen!$O$7:$P$12,2,0)*0.05))*DATEDIF(Resumen!$B$6,A41,"y")))</f>
        <v>718.96</v>
      </c>
      <c r="Y41" s="3">
        <v>50</v>
      </c>
      <c r="Z41" s="1">
        <f>IF(Resumen!$B$9="Sí",IF(DATEDIF("1/5/2008",A41,"M")/12=5,R41/2,IF(DATEDIF("1/5/2008",A41,"M")/12=10,R41,IF(DATEDIF("1/5/2008",A41,"M")/12=15,R41*1.5,IF(DATEDIF("1/5/2008",A41,"M")/12=20,R41*2,0)))),IF(DATEDIF(Resumen!$B$6,A41,"M")/12=5,R41/2,IF(DATEDIF(Resumen!$B$6,A41,"M")/12=10,R41,IF(DATEDIF(Resumen!$B$6,A41,"M")/12=15,R41*1.5,IF(DATEDIF(Resumen!$B$6,A41,"M")/12=20,R41*2,IF(DATEDIF(Resumen!$B$6,A41,"M")/12=25,R41*2.5,IF(DATEDIF(Resumen!$B$6,A41,"M")/12=30,R41*3)))))))</f>
        <v>0</v>
      </c>
      <c r="AA41" s="19">
        <f>(IF(Resumen!$B$20="Sí",IF(Resumen!$C$20&lt;=A41,IF(DATEDIF(Resumen!$C$20,A41,"Y")&lt;8,VLOOKUP(YEAR(A41),Resumen!$O$7:$P$12,2,0),0),0),0))+(IF(Resumen!$B$21="Sí",IF(Resumen!$C$21&lt;=A41,IF(DATEDIF(Resumen!$C$21,A41,"Y")&lt;8,VLOOKUP(YEAR(A41),Resumen!$O$7:$P$12,2,0),0),0),0))</f>
        <v>0</v>
      </c>
      <c r="AB41" s="1">
        <f>IF(MONTH(A41)=12,VLOOKUP(YEAR(A41),Resumen!$O$7:$P$12,2,0),0)</f>
        <v>0</v>
      </c>
      <c r="AC41" s="1">
        <f t="shared" si="28"/>
        <v>0</v>
      </c>
      <c r="AD41" s="19">
        <f>(IF(Resumen!$B$25="Sí",IF(DATE(YEAR(Resumen!$C$25),MONTH(Resumen!$C$25),1)=A41,1000,0)+(IF(Resumen!$B$26="Sí",IF(DATE(YEAR(Resumen!$C$26),MONTH(Resumen!$C$26),1)=A41,1000,0),0)),0))</f>
        <v>0</v>
      </c>
      <c r="AE41" s="1">
        <v>0</v>
      </c>
      <c r="AF41" s="1">
        <v>0</v>
      </c>
      <c r="AG41" s="19">
        <v>130</v>
      </c>
      <c r="AH41" s="1">
        <v>0</v>
      </c>
      <c r="AI41" s="19">
        <f>IF(MONTH(A41)=12,IF(Resumen!$B$9="Sí",(15+DATEDIF("1/5/2008",A41,"y")-5)*50,(15+DATEDIF(Resumen!$B$6,A41,"y")-5)*50),0)</f>
        <v>0</v>
      </c>
      <c r="AJ41" s="5">
        <f>IF(Resumen!$B$13="No",IF(Resumen!$B$12="No",20,100),0)</f>
        <v>20</v>
      </c>
      <c r="AK41" s="1">
        <f>IF(Resumen!$B$14="Código",(R41+S41+T41+X41)*9.45%*-1,(R41+S41+T41+X41)*11.45%*-1)</f>
        <v>-255.44492</v>
      </c>
      <c r="AM41" s="3">
        <f t="shared" si="29"/>
        <v>300</v>
      </c>
      <c r="AN41" s="4">
        <f t="shared" si="30"/>
        <v>0</v>
      </c>
      <c r="AO41" s="4">
        <f t="shared" si="31"/>
        <v>0</v>
      </c>
      <c r="AP41" s="4">
        <f t="shared" si="32"/>
        <v>21.97</v>
      </c>
      <c r="AQ41" s="4">
        <f t="shared" si="33"/>
        <v>21.960000000000008</v>
      </c>
      <c r="AR41" s="4">
        <f t="shared" si="34"/>
        <v>682.6</v>
      </c>
      <c r="AS41" s="4">
        <f t="shared" si="35"/>
        <v>24</v>
      </c>
      <c r="AT41" s="4">
        <f t="shared" si="36"/>
        <v>50</v>
      </c>
      <c r="AU41" s="6">
        <f t="shared" si="37"/>
        <v>0</v>
      </c>
      <c r="AV41" s="6">
        <f t="shared" si="38"/>
        <v>0</v>
      </c>
      <c r="AW41" s="6">
        <f t="shared" si="39"/>
        <v>0</v>
      </c>
      <c r="AX41" s="6">
        <f t="shared" si="40"/>
        <v>20</v>
      </c>
      <c r="AY41" s="6">
        <f t="shared" si="41"/>
        <v>0</v>
      </c>
      <c r="AZ41" s="6">
        <f t="shared" si="42"/>
        <v>0</v>
      </c>
      <c r="BA41" s="6">
        <f t="shared" si="43"/>
        <v>0</v>
      </c>
      <c r="BB41" s="6">
        <f t="shared" si="44"/>
        <v>-112.50770000000003</v>
      </c>
      <c r="BD41" s="3">
        <f t="shared" si="45"/>
        <v>1008.0223000000002</v>
      </c>
      <c r="BE41" s="3">
        <v>0</v>
      </c>
    </row>
    <row r="42" spans="1:57" x14ac:dyDescent="0.25">
      <c r="A42" s="7">
        <v>44287</v>
      </c>
      <c r="B42" s="9">
        <f>IF(Resumen!$B$14="Código",IF(A42&lt;DATE(2021,7,1),Resumen!$B$7,Resumen!$B$7+300),IF(A42&lt;DATE(2022,3,1),Resumen!$B$7,Resumen!$B$7+300))</f>
        <v>1212</v>
      </c>
      <c r="C42" s="76">
        <f>Detalle!C42</f>
        <v>0</v>
      </c>
      <c r="D42" s="76">
        <f>Detalle!D42</f>
        <v>0</v>
      </c>
      <c r="E42" s="4">
        <f t="shared" si="18"/>
        <v>0</v>
      </c>
      <c r="F42" s="4">
        <f t="shared" si="19"/>
        <v>0</v>
      </c>
      <c r="G42" s="4">
        <f>IF(Resumen!$B$14="Código",IF(A42&lt;DATE(2021,7,1),(Resumen!$B$7*0.25%)*DATEDIF("1/1/2009",A42,"y"),IF(Resumen!$B$9="Sí",(((B42*0.03)+(VLOOKUP(YEAR(A42),Resumen!$O$7:$P$12,2,0)*0.05))*DATEDIF(MAX("1/5/2008",Resumen!$B$6),A42,"y")),(((B42*0.03)+(VLOOKUP(YEAR(A42),Resumen!$O$7:$P$12,2,0)*0.05))*DATEDIF(Resumen!$B$6,A42,"y")))),IF(A42&lt;DATE(2022,3,1),(Resumen!$B$7*0.25%)*DATEDIF("1/1/2009",A42,"y"),IF(Resumen!$B$9="Sí",(((B42*0.03)+(VLOOKUP(YEAR(A42),Resumen!$O$7:$P$12,2,0)*0.05))*DATEDIF(MAX("1/5/2008",Resumen!$B$6),A42,"y")),(((B42*0.03)+(VLOOKUP(YEAR(A42),Resumen!$O$7:$P$12,2,0)*0.05))*DATEDIF(Resumen!$B$6,A42,"y")))))</f>
        <v>36.36</v>
      </c>
      <c r="H42" s="4">
        <f t="shared" si="20"/>
        <v>104.03</v>
      </c>
      <c r="I42" s="4">
        <f t="shared" si="21"/>
        <v>103.99</v>
      </c>
      <c r="J42" s="1">
        <f>IF(Resumen!$B$14="Código",IF(A42&lt;DATE(2021,7,1),0,(0.03*(VLOOKUP(YEAR(A42),Resumen!$O$7:$P$12,2,0))*Resumen!$B$8)),IF(A42&lt;DATE(2022,3,1),0,(0.03*(VLOOKUP(YEAR(A42),Resumen!$O$7:$P$12,2,0))*Resumen!$B$8)))</f>
        <v>0</v>
      </c>
      <c r="K42" s="1">
        <f>IF(Resumen!$B$14="Código",IF(A42&lt;DATE(2021,7,1),0,50),IF(A42&lt;DATE(2022,3,1),0,50))</f>
        <v>0</v>
      </c>
      <c r="L42" s="1">
        <v>0</v>
      </c>
      <c r="M42" s="1">
        <v>0</v>
      </c>
      <c r="N42" s="1">
        <v>0</v>
      </c>
      <c r="O42" s="1">
        <v>0</v>
      </c>
      <c r="P42" s="1">
        <f>IF(Resumen!$B$14="Código",(B42+E42+F42+G42)*9.45%*-1,(B42+E42+F42+G42)*11.45%*-1)</f>
        <v>-142.93721999999997</v>
      </c>
      <c r="Q42" s="3"/>
      <c r="R42" s="9">
        <f t="shared" si="27"/>
        <v>1512</v>
      </c>
      <c r="S42" s="4">
        <f t="shared" si="22"/>
        <v>0</v>
      </c>
      <c r="T42" s="4">
        <f t="shared" si="23"/>
        <v>0</v>
      </c>
      <c r="U42" s="4">
        <f t="shared" si="24"/>
        <v>126</v>
      </c>
      <c r="V42" s="4">
        <f t="shared" si="25"/>
        <v>125.95</v>
      </c>
      <c r="W42" s="4">
        <f>(0.03*(VLOOKUP(YEAR(A42),Resumen!$O$7:$P$12,2,0))*Resumen!$B$8)</f>
        <v>24</v>
      </c>
      <c r="X42" s="4">
        <f>IF(Resumen!$B$9="Sí",(((R42*0.03)+(VLOOKUP(YEAR(A42),Resumen!$O$7:$P$12,2,0)*0.05))*DATEDIF(MAX("1/5/2008",Resumen!$B$6),A42,"y")),(((R42*0.03)+(VLOOKUP(YEAR(A42),Resumen!$O$7:$P$12,2,0)*0.05))*DATEDIF(Resumen!$B$6,A42,"y")))</f>
        <v>718.96</v>
      </c>
      <c r="Y42" s="3">
        <v>50</v>
      </c>
      <c r="Z42" s="1">
        <f>IF(Resumen!$B$9="Sí",IF(DATEDIF("1/5/2008",A42,"M")/12=5,R42/2,IF(DATEDIF("1/5/2008",A42,"M")/12=10,R42,IF(DATEDIF("1/5/2008",A42,"M")/12=15,R42*1.5,IF(DATEDIF("1/5/2008",A42,"M")/12=20,R42*2,0)))),IF(DATEDIF(Resumen!$B$6,A42,"M")/12=5,R42/2,IF(DATEDIF(Resumen!$B$6,A42,"M")/12=10,R42,IF(DATEDIF(Resumen!$B$6,A42,"M")/12=15,R42*1.5,IF(DATEDIF(Resumen!$B$6,A42,"M")/12=20,R42*2,IF(DATEDIF(Resumen!$B$6,A42,"M")/12=25,R42*2.5,IF(DATEDIF(Resumen!$B$6,A42,"M")/12=30,R42*3)))))))</f>
        <v>0</v>
      </c>
      <c r="AA42" s="19">
        <f>(IF(Resumen!$B$20="Sí",IF(Resumen!$C$20&lt;=A42,IF(DATEDIF(Resumen!$C$20,A42,"Y")&lt;8,VLOOKUP(YEAR(A42),Resumen!$O$7:$P$12,2,0),0),0),0))+(IF(Resumen!$B$21="Sí",IF(Resumen!$C$21&lt;=A42,IF(DATEDIF(Resumen!$C$21,A42,"Y")&lt;8,VLOOKUP(YEAR(A42),Resumen!$O$7:$P$12,2,0),0),0),0))</f>
        <v>0</v>
      </c>
      <c r="AB42" s="1">
        <f>IF(MONTH(A42)=12,VLOOKUP(YEAR(A42),Resumen!$O$7:$P$12,2,0),0)</f>
        <v>0</v>
      </c>
      <c r="AC42" s="1">
        <f t="shared" si="28"/>
        <v>0</v>
      </c>
      <c r="AD42" s="19">
        <f>(IF(Resumen!$B$25="Sí",IF(DATE(YEAR(Resumen!$C$25),MONTH(Resumen!$C$25),1)=A42,1000,0)+(IF(Resumen!$B$26="Sí",IF(DATE(YEAR(Resumen!$C$26),MONTH(Resumen!$C$26),1)=A42,1000,0),0)),0))</f>
        <v>0</v>
      </c>
      <c r="AE42" s="1">
        <v>0</v>
      </c>
      <c r="AF42" s="1">
        <v>0</v>
      </c>
      <c r="AG42" s="19">
        <v>130</v>
      </c>
      <c r="AH42" s="1">
        <v>0</v>
      </c>
      <c r="AI42" s="19">
        <f>IF(MONTH(A42)=12,IF(Resumen!$B$9="Sí",(15+DATEDIF("1/5/2008",A42,"y")-5)*50,(15+DATEDIF(Resumen!$B$6,A42,"y")-5)*50),0)</f>
        <v>0</v>
      </c>
      <c r="AJ42" s="5">
        <f>IF(Resumen!$B$13="No",IF(Resumen!$B$12="No",20,100),0)</f>
        <v>20</v>
      </c>
      <c r="AK42" s="1">
        <f>IF(Resumen!$B$14="Código",(R42+S42+T42+X42)*9.45%*-1,(R42+S42+T42+X42)*11.45%*-1)</f>
        <v>-255.44492</v>
      </c>
      <c r="AM42" s="3">
        <f t="shared" si="29"/>
        <v>300</v>
      </c>
      <c r="AN42" s="4">
        <f t="shared" si="30"/>
        <v>0</v>
      </c>
      <c r="AO42" s="4">
        <f t="shared" si="31"/>
        <v>0</v>
      </c>
      <c r="AP42" s="4">
        <f t="shared" si="32"/>
        <v>21.97</v>
      </c>
      <c r="AQ42" s="4">
        <f t="shared" si="33"/>
        <v>21.960000000000008</v>
      </c>
      <c r="AR42" s="4">
        <f t="shared" si="34"/>
        <v>682.6</v>
      </c>
      <c r="AS42" s="4">
        <f t="shared" si="35"/>
        <v>24</v>
      </c>
      <c r="AT42" s="4">
        <f t="shared" si="36"/>
        <v>50</v>
      </c>
      <c r="AU42" s="6">
        <f t="shared" si="37"/>
        <v>0</v>
      </c>
      <c r="AV42" s="6">
        <f t="shared" si="38"/>
        <v>0</v>
      </c>
      <c r="AW42" s="6">
        <f t="shared" si="39"/>
        <v>0</v>
      </c>
      <c r="AX42" s="6">
        <f t="shared" si="40"/>
        <v>20</v>
      </c>
      <c r="AY42" s="6">
        <f t="shared" si="41"/>
        <v>0</v>
      </c>
      <c r="AZ42" s="6">
        <f t="shared" si="42"/>
        <v>0</v>
      </c>
      <c r="BA42" s="6">
        <f t="shared" si="43"/>
        <v>0</v>
      </c>
      <c r="BB42" s="6">
        <f t="shared" si="44"/>
        <v>-112.50770000000003</v>
      </c>
      <c r="BD42" s="3">
        <f t="shared" si="45"/>
        <v>1008.0223000000002</v>
      </c>
      <c r="BE42" s="3">
        <v>0</v>
      </c>
    </row>
    <row r="43" spans="1:57" x14ac:dyDescent="0.25">
      <c r="A43" s="7">
        <v>44317</v>
      </c>
      <c r="B43" s="9">
        <f>IF(Resumen!$B$14="Código",IF(A43&lt;DATE(2021,7,1),Resumen!$B$7,Resumen!$B$7+300),IF(A43&lt;DATE(2022,3,1),Resumen!$B$7,Resumen!$B$7+300))</f>
        <v>1212</v>
      </c>
      <c r="C43" s="76">
        <f>Detalle!C43</f>
        <v>0</v>
      </c>
      <c r="D43" s="76">
        <f>Detalle!D43</f>
        <v>0</v>
      </c>
      <c r="E43" s="4">
        <f t="shared" si="18"/>
        <v>0</v>
      </c>
      <c r="F43" s="4">
        <f t="shared" si="19"/>
        <v>0</v>
      </c>
      <c r="G43" s="4">
        <f>IF(Resumen!$B$14="Código",IF(A43&lt;DATE(2021,7,1),(Resumen!$B$7*0.25%)*DATEDIF("1/1/2009",A43,"y"),IF(Resumen!$B$9="Sí",(((B43*0.03)+(VLOOKUP(YEAR(A43),Resumen!$O$7:$P$12,2,0)*0.05))*DATEDIF(MAX("1/5/2008",Resumen!$B$6),A43,"y")),(((B43*0.03)+(VLOOKUP(YEAR(A43),Resumen!$O$7:$P$12,2,0)*0.05))*DATEDIF(Resumen!$B$6,A43,"y")))),IF(A43&lt;DATE(2022,3,1),(Resumen!$B$7*0.25%)*DATEDIF("1/1/2009",A43,"y"),IF(Resumen!$B$9="Sí",(((B43*0.03)+(VLOOKUP(YEAR(A43),Resumen!$O$7:$P$12,2,0)*0.05))*DATEDIF(MAX("1/5/2008",Resumen!$B$6),A43,"y")),(((B43*0.03)+(VLOOKUP(YEAR(A43),Resumen!$O$7:$P$12,2,0)*0.05))*DATEDIF(Resumen!$B$6,A43,"y")))))</f>
        <v>36.36</v>
      </c>
      <c r="H43" s="4">
        <f t="shared" si="20"/>
        <v>104.03</v>
      </c>
      <c r="I43" s="4">
        <f t="shared" si="21"/>
        <v>103.99</v>
      </c>
      <c r="J43" s="1">
        <f>IF(Resumen!$B$14="Código",IF(A43&lt;DATE(2021,7,1),0,(0.03*(VLOOKUP(YEAR(A43),Resumen!$O$7:$P$12,2,0))*Resumen!$B$8)),IF(A43&lt;DATE(2022,3,1),0,(0.03*(VLOOKUP(YEAR(A43),Resumen!$O$7:$P$12,2,0))*Resumen!$B$8)))</f>
        <v>0</v>
      </c>
      <c r="K43" s="1">
        <f>IF(Resumen!$B$14="Código",IF(A43&lt;DATE(2021,7,1),0,50),IF(A43&lt;DATE(2022,3,1),0,50))</f>
        <v>0</v>
      </c>
      <c r="L43" s="1">
        <v>0</v>
      </c>
      <c r="M43" s="1">
        <v>0</v>
      </c>
      <c r="N43" s="1">
        <v>0</v>
      </c>
      <c r="O43" s="1">
        <v>0</v>
      </c>
      <c r="P43" s="1">
        <f>IF(Resumen!$B$14="Código",(B43+E43+F43+G43)*9.45%*-1,(B43+E43+F43+G43)*11.45%*-1)</f>
        <v>-142.93721999999997</v>
      </c>
      <c r="Q43" s="3"/>
      <c r="R43" s="9">
        <f t="shared" si="27"/>
        <v>1512</v>
      </c>
      <c r="S43" s="4">
        <f t="shared" si="22"/>
        <v>0</v>
      </c>
      <c r="T43" s="4">
        <f t="shared" si="23"/>
        <v>0</v>
      </c>
      <c r="U43" s="4">
        <f t="shared" si="24"/>
        <v>126</v>
      </c>
      <c r="V43" s="4">
        <f t="shared" si="25"/>
        <v>125.95</v>
      </c>
      <c r="W43" s="4">
        <f>(0.03*(VLOOKUP(YEAR(A43),Resumen!$O$7:$P$12,2,0))*Resumen!$B$8)</f>
        <v>24</v>
      </c>
      <c r="X43" s="4">
        <f>IF(Resumen!$B$9="Sí",(((R43*0.03)+(VLOOKUP(YEAR(A43),Resumen!$O$7:$P$12,2,0)*0.05))*DATEDIF(MAX("1/5/2008",Resumen!$B$6),A43,"y")),(((R43*0.03)+(VLOOKUP(YEAR(A43),Resumen!$O$7:$P$12,2,0)*0.05))*DATEDIF(Resumen!$B$6,A43,"y")))</f>
        <v>718.96</v>
      </c>
      <c r="Y43" s="3">
        <v>50</v>
      </c>
      <c r="Z43" s="1">
        <f>IF(Resumen!$B$9="Sí",IF(DATEDIF("1/5/2008",A43,"M")/12=5,R43/2,IF(DATEDIF("1/5/2008",A43,"M")/12=10,R43,IF(DATEDIF("1/5/2008",A43,"M")/12=15,R43*1.5,IF(DATEDIF("1/5/2008",A43,"M")/12=20,R43*2,0)))),IF(DATEDIF(Resumen!$B$6,A43,"M")/12=5,R43/2,IF(DATEDIF(Resumen!$B$6,A43,"M")/12=10,R43,IF(DATEDIF(Resumen!$B$6,A43,"M")/12=15,R43*1.5,IF(DATEDIF(Resumen!$B$6,A43,"M")/12=20,R43*2,IF(DATEDIF(Resumen!$B$6,A43,"M")/12=25,R43*2.5,IF(DATEDIF(Resumen!$B$6,A43,"M")/12=30,R43*3)))))))</f>
        <v>0</v>
      </c>
      <c r="AA43" s="19">
        <f>(IF(Resumen!$B$20="Sí",IF(Resumen!$C$20&lt;=A43,IF(DATEDIF(Resumen!$C$20,A43,"Y")&lt;8,VLOOKUP(YEAR(A43),Resumen!$O$7:$P$12,2,0),0),0),0))+(IF(Resumen!$B$21="Sí",IF(Resumen!$C$21&lt;=A43,IF(DATEDIF(Resumen!$C$21,A43,"Y")&lt;8,VLOOKUP(YEAR(A43),Resumen!$O$7:$P$12,2,0),0),0),0))</f>
        <v>0</v>
      </c>
      <c r="AB43" s="1">
        <f>IF(MONTH(A43)=12,VLOOKUP(YEAR(A43),Resumen!$O$7:$P$12,2,0),0)</f>
        <v>0</v>
      </c>
      <c r="AC43" s="1">
        <f t="shared" si="28"/>
        <v>0</v>
      </c>
      <c r="AD43" s="19">
        <f>(IF(Resumen!$B$25="Sí",IF(DATE(YEAR(Resumen!$C$25),MONTH(Resumen!$C$25),1)=A43,1000,0)+(IF(Resumen!$B$26="Sí",IF(DATE(YEAR(Resumen!$C$26),MONTH(Resumen!$C$26),1)=A43,1000,0),0)),0))</f>
        <v>0</v>
      </c>
      <c r="AE43" s="1">
        <v>0</v>
      </c>
      <c r="AF43" s="1">
        <v>0</v>
      </c>
      <c r="AG43" s="19">
        <v>130</v>
      </c>
      <c r="AH43" s="1">
        <v>0</v>
      </c>
      <c r="AI43" s="19">
        <f>IF(MONTH(A43)=12,IF(Resumen!$B$9="Sí",(15+DATEDIF("1/5/2008",A43,"y")-5)*50,(15+DATEDIF(Resumen!$B$6,A43,"y")-5)*50),0)</f>
        <v>0</v>
      </c>
      <c r="AJ43" s="5">
        <f>IF(Resumen!$B$13="No",IF(Resumen!$B$12="No",20,100),0)</f>
        <v>20</v>
      </c>
      <c r="AK43" s="1">
        <f>IF(Resumen!$B$14="Código",(R43+S43+T43+X43)*9.45%*-1,(R43+S43+T43+X43)*11.45%*-1)</f>
        <v>-255.44492</v>
      </c>
      <c r="AM43" s="3">
        <f t="shared" si="29"/>
        <v>300</v>
      </c>
      <c r="AN43" s="4">
        <f t="shared" si="30"/>
        <v>0</v>
      </c>
      <c r="AO43" s="4">
        <f t="shared" si="31"/>
        <v>0</v>
      </c>
      <c r="AP43" s="4">
        <f t="shared" si="32"/>
        <v>21.97</v>
      </c>
      <c r="AQ43" s="4">
        <f t="shared" si="33"/>
        <v>21.960000000000008</v>
      </c>
      <c r="AR43" s="4">
        <f t="shared" si="34"/>
        <v>682.6</v>
      </c>
      <c r="AS43" s="4">
        <f t="shared" si="35"/>
        <v>24</v>
      </c>
      <c r="AT43" s="4">
        <f t="shared" si="36"/>
        <v>50</v>
      </c>
      <c r="AU43" s="6">
        <f t="shared" si="37"/>
        <v>0</v>
      </c>
      <c r="AV43" s="6">
        <f t="shared" si="38"/>
        <v>0</v>
      </c>
      <c r="AW43" s="6">
        <f t="shared" si="39"/>
        <v>0</v>
      </c>
      <c r="AX43" s="6">
        <f t="shared" si="40"/>
        <v>20</v>
      </c>
      <c r="AY43" s="6">
        <f t="shared" si="41"/>
        <v>0</v>
      </c>
      <c r="AZ43" s="6">
        <f t="shared" si="42"/>
        <v>0</v>
      </c>
      <c r="BA43" s="6">
        <f t="shared" si="43"/>
        <v>0</v>
      </c>
      <c r="BB43" s="6">
        <f t="shared" si="44"/>
        <v>-112.50770000000003</v>
      </c>
      <c r="BD43" s="3">
        <f t="shared" si="45"/>
        <v>1008.0223000000002</v>
      </c>
      <c r="BE43" s="3">
        <v>0</v>
      </c>
    </row>
    <row r="44" spans="1:57" x14ac:dyDescent="0.25">
      <c r="A44" s="7">
        <v>44348</v>
      </c>
      <c r="B44" s="9">
        <f>IF(Resumen!$B$14="Código",IF(A44&lt;DATE(2021,7,1),Resumen!$B$7,Resumen!$B$7+300),IF(A44&lt;DATE(2022,3,1),Resumen!$B$7,Resumen!$B$7+300))</f>
        <v>1212</v>
      </c>
      <c r="C44" s="76">
        <f>Detalle!C44</f>
        <v>0</v>
      </c>
      <c r="D44" s="76">
        <f>Detalle!D44</f>
        <v>0</v>
      </c>
      <c r="E44" s="4">
        <f t="shared" si="18"/>
        <v>0</v>
      </c>
      <c r="F44" s="4">
        <f t="shared" si="19"/>
        <v>0</v>
      </c>
      <c r="G44" s="4">
        <f>IF(Resumen!$B$14="Código",IF(A44&lt;DATE(2021,7,1),(Resumen!$B$7*0.25%)*DATEDIF("1/1/2009",A44,"y"),IF(Resumen!$B$9="Sí",(((B44*0.03)+(VLOOKUP(YEAR(A44),Resumen!$O$7:$P$12,2,0)*0.05))*DATEDIF(MAX("1/5/2008",Resumen!$B$6),A44,"y")),(((B44*0.03)+(VLOOKUP(YEAR(A44),Resumen!$O$7:$P$12,2,0)*0.05))*DATEDIF(Resumen!$B$6,A44,"y")))),IF(A44&lt;DATE(2022,3,1),(Resumen!$B$7*0.25%)*DATEDIF("1/1/2009",A44,"y"),IF(Resumen!$B$9="Sí",(((B44*0.03)+(VLOOKUP(YEAR(A44),Resumen!$O$7:$P$12,2,0)*0.05))*DATEDIF(MAX("1/5/2008",Resumen!$B$6),A44,"y")),(((B44*0.03)+(VLOOKUP(YEAR(A44),Resumen!$O$7:$P$12,2,0)*0.05))*DATEDIF(Resumen!$B$6,A44,"y")))))</f>
        <v>36.36</v>
      </c>
      <c r="H44" s="4">
        <f t="shared" si="20"/>
        <v>104.03</v>
      </c>
      <c r="I44" s="4">
        <f t="shared" si="21"/>
        <v>103.99</v>
      </c>
      <c r="J44" s="1">
        <f>IF(Resumen!$B$14="Código",IF(A44&lt;DATE(2021,7,1),0,(0.03*(VLOOKUP(YEAR(A44),Resumen!$O$7:$P$12,2,0))*Resumen!$B$8)),IF(A44&lt;DATE(2022,3,1),0,(0.03*(VLOOKUP(YEAR(A44),Resumen!$O$7:$P$12,2,0))*Resumen!$B$8)))</f>
        <v>0</v>
      </c>
      <c r="K44" s="1">
        <f>IF(Resumen!$B$14="Código",IF(A44&lt;DATE(2021,7,1),0,50),IF(A44&lt;DATE(2022,3,1),0,50))</f>
        <v>0</v>
      </c>
      <c r="L44" s="1">
        <v>0</v>
      </c>
      <c r="M44" s="1">
        <v>0</v>
      </c>
      <c r="N44" s="1">
        <v>0</v>
      </c>
      <c r="O44" s="1">
        <v>0</v>
      </c>
      <c r="P44" s="1">
        <f>IF(Resumen!$B$14="Código",(B44+E44+F44+G44)*9.45%*-1,(B44+E44+F44+G44)*11.45%*-1)</f>
        <v>-142.93721999999997</v>
      </c>
      <c r="Q44" s="3"/>
      <c r="R44" s="9">
        <f t="shared" si="27"/>
        <v>1512</v>
      </c>
      <c r="S44" s="4">
        <f t="shared" si="22"/>
        <v>0</v>
      </c>
      <c r="T44" s="4">
        <f t="shared" si="23"/>
        <v>0</v>
      </c>
      <c r="U44" s="4">
        <f t="shared" si="24"/>
        <v>126</v>
      </c>
      <c r="V44" s="4">
        <f t="shared" si="25"/>
        <v>125.95</v>
      </c>
      <c r="W44" s="4">
        <f>(0.03*(VLOOKUP(YEAR(A44),Resumen!$O$7:$P$12,2,0))*Resumen!$B$8)</f>
        <v>24</v>
      </c>
      <c r="X44" s="4">
        <f>IF(Resumen!$B$9="Sí",(((R44*0.03)+(VLOOKUP(YEAR(A44),Resumen!$O$7:$P$12,2,0)*0.05))*DATEDIF(MAX("1/5/2008",Resumen!$B$6),A44,"y")),(((R44*0.03)+(VLOOKUP(YEAR(A44),Resumen!$O$7:$P$12,2,0)*0.05))*DATEDIF(Resumen!$B$6,A44,"y")))</f>
        <v>718.96</v>
      </c>
      <c r="Y44" s="3">
        <v>50</v>
      </c>
      <c r="Z44" s="1">
        <f>IF(Resumen!$B$9="Sí",IF(DATEDIF("1/5/2008",A44,"M")/12=5,R44/2,IF(DATEDIF("1/5/2008",A44,"M")/12=10,R44,IF(DATEDIF("1/5/2008",A44,"M")/12=15,R44*1.5,IF(DATEDIF("1/5/2008",A44,"M")/12=20,R44*2,0)))),IF(DATEDIF(Resumen!$B$6,A44,"M")/12=5,R44/2,IF(DATEDIF(Resumen!$B$6,A44,"M")/12=10,R44,IF(DATEDIF(Resumen!$B$6,A44,"M")/12=15,R44*1.5,IF(DATEDIF(Resumen!$B$6,A44,"M")/12=20,R44*2,IF(DATEDIF(Resumen!$B$6,A44,"M")/12=25,R44*2.5,IF(DATEDIF(Resumen!$B$6,A44,"M")/12=30,R44*3)))))))</f>
        <v>0</v>
      </c>
      <c r="AA44" s="19">
        <f>(IF(Resumen!$B$20="Sí",IF(Resumen!$C$20&lt;=A44,IF(DATEDIF(Resumen!$C$20,A44,"Y")&lt;8,VLOOKUP(YEAR(A44),Resumen!$O$7:$P$12,2,0),0),0),0))+(IF(Resumen!$B$21="Sí",IF(Resumen!$C$21&lt;=A44,IF(DATEDIF(Resumen!$C$21,A44,"Y")&lt;8,VLOOKUP(YEAR(A44),Resumen!$O$7:$P$12,2,0),0),0),0))</f>
        <v>0</v>
      </c>
      <c r="AB44" s="1">
        <f>IF(MONTH(A44)=12,VLOOKUP(YEAR(A44),Resumen!$O$7:$P$12,2,0),0)</f>
        <v>0</v>
      </c>
      <c r="AC44" s="1">
        <f t="shared" si="28"/>
        <v>0</v>
      </c>
      <c r="AD44" s="19">
        <f>(IF(Resumen!$B$25="Sí",IF(DATE(YEAR(Resumen!$C$25),MONTH(Resumen!$C$25),1)=A44,1000,0)+(IF(Resumen!$B$26="Sí",IF(DATE(YEAR(Resumen!$C$26),MONTH(Resumen!$C$26),1)=A44,1000,0),0)),0))</f>
        <v>0</v>
      </c>
      <c r="AE44" s="1">
        <v>0</v>
      </c>
      <c r="AF44" s="1">
        <v>0</v>
      </c>
      <c r="AG44" s="19">
        <v>130</v>
      </c>
      <c r="AH44" s="1">
        <v>0</v>
      </c>
      <c r="AI44" s="19">
        <f>IF(MONTH(A44)=12,IF(Resumen!$B$9="Sí",(15+DATEDIF("1/5/2008",A44,"y")-5)*50,(15+DATEDIF(Resumen!$B$6,A44,"y")-5)*50),0)</f>
        <v>0</v>
      </c>
      <c r="AJ44" s="5">
        <f>IF(Resumen!$B$13="No",IF(Resumen!$B$12="No",20,100),0)</f>
        <v>20</v>
      </c>
      <c r="AK44" s="1">
        <f>IF(Resumen!$B$14="Código",(R44+S44+T44+X44)*9.45%*-1,(R44+S44+T44+X44)*11.45%*-1)</f>
        <v>-255.44492</v>
      </c>
      <c r="AM44" s="3">
        <f t="shared" si="29"/>
        <v>300</v>
      </c>
      <c r="AN44" s="4">
        <f t="shared" si="30"/>
        <v>0</v>
      </c>
      <c r="AO44" s="4">
        <f t="shared" si="31"/>
        <v>0</v>
      </c>
      <c r="AP44" s="4">
        <f t="shared" si="32"/>
        <v>21.97</v>
      </c>
      <c r="AQ44" s="4">
        <f t="shared" si="33"/>
        <v>21.960000000000008</v>
      </c>
      <c r="AR44" s="4">
        <f t="shared" si="34"/>
        <v>682.6</v>
      </c>
      <c r="AS44" s="4">
        <f t="shared" si="35"/>
        <v>24</v>
      </c>
      <c r="AT44" s="4">
        <f t="shared" si="36"/>
        <v>50</v>
      </c>
      <c r="AU44" s="6">
        <f t="shared" si="37"/>
        <v>0</v>
      </c>
      <c r="AV44" s="6">
        <f t="shared" si="38"/>
        <v>0</v>
      </c>
      <c r="AW44" s="6">
        <f t="shared" si="39"/>
        <v>0</v>
      </c>
      <c r="AX44" s="6">
        <f t="shared" si="40"/>
        <v>20</v>
      </c>
      <c r="AY44" s="6">
        <f t="shared" si="41"/>
        <v>0</v>
      </c>
      <c r="AZ44" s="6">
        <f t="shared" si="42"/>
        <v>0</v>
      </c>
      <c r="BA44" s="6">
        <f t="shared" si="43"/>
        <v>0</v>
      </c>
      <c r="BB44" s="6">
        <f t="shared" si="44"/>
        <v>-112.50770000000003</v>
      </c>
      <c r="BD44" s="3">
        <f t="shared" si="45"/>
        <v>1008.0223000000002</v>
      </c>
      <c r="BE44" s="3">
        <v>0</v>
      </c>
    </row>
    <row r="45" spans="1:57" x14ac:dyDescent="0.25">
      <c r="A45" s="7">
        <v>44378</v>
      </c>
      <c r="B45" s="9">
        <f>IF(Resumen!$B$14="Código",IF(A45&lt;DATE(2021,7,1),Resumen!$B$7,Resumen!$B$7+300),IF(A45&lt;DATE(2022,3,1),Resumen!$B$7,Resumen!$B$7+300))</f>
        <v>1212</v>
      </c>
      <c r="C45" s="76">
        <f>Detalle!C45</f>
        <v>0</v>
      </c>
      <c r="D45" s="76">
        <f>Detalle!D45</f>
        <v>0</v>
      </c>
      <c r="E45" s="4">
        <f t="shared" si="18"/>
        <v>0</v>
      </c>
      <c r="F45" s="4">
        <f t="shared" si="19"/>
        <v>0</v>
      </c>
      <c r="G45" s="4">
        <f>IF(Resumen!$B$14="Código",IF(A45&lt;DATE(2021,7,1),(Resumen!$B$7*0.25%)*DATEDIF("1/1/2009",A45,"y"),IF(Resumen!$B$9="Sí",(((B45*0.03)+(VLOOKUP(YEAR(A45),Resumen!$O$7:$P$12,2,0)*0.05))*DATEDIF(MAX("1/5/2008",Resumen!$B$6),A45,"y")),(((B45*0.03)+(VLOOKUP(YEAR(A45),Resumen!$O$7:$P$12,2,0)*0.05))*DATEDIF(Resumen!$B$6,A45,"y")))),IF(A45&lt;DATE(2022,3,1),(Resumen!$B$7*0.25%)*DATEDIF("1/1/2009",A45,"y"),IF(Resumen!$B$9="Sí",(((B45*0.03)+(VLOOKUP(YEAR(A45),Resumen!$O$7:$P$12,2,0)*0.05))*DATEDIF(MAX("1/5/2008",Resumen!$B$6),A45,"y")),(((B45*0.03)+(VLOOKUP(YEAR(A45),Resumen!$O$7:$P$12,2,0)*0.05))*DATEDIF(Resumen!$B$6,A45,"y")))))</f>
        <v>36.36</v>
      </c>
      <c r="H45" s="4">
        <f t="shared" si="20"/>
        <v>104.03</v>
      </c>
      <c r="I45" s="4">
        <f t="shared" si="21"/>
        <v>103.99</v>
      </c>
      <c r="J45" s="1">
        <f>IF(Resumen!$B$14="Código",IF(A45&lt;DATE(2021,7,1),0,(0.03*(VLOOKUP(YEAR(A45),Resumen!$O$7:$P$12,2,0))*Resumen!$B$8)),IF(A45&lt;DATE(2022,3,1),0,(0.03*(VLOOKUP(YEAR(A45),Resumen!$O$7:$P$12,2,0))*Resumen!$B$8)))</f>
        <v>0</v>
      </c>
      <c r="K45" s="1">
        <f>IF(Resumen!$B$14="Código",IF(A45&lt;DATE(2021,7,1),0,50),IF(A45&lt;DATE(2022,3,1),0,50))</f>
        <v>0</v>
      </c>
      <c r="L45" s="1">
        <v>0</v>
      </c>
      <c r="M45" s="1">
        <v>0</v>
      </c>
      <c r="N45" s="1">
        <v>0</v>
      </c>
      <c r="O45" s="1">
        <v>0</v>
      </c>
      <c r="P45" s="1">
        <f>IF(Resumen!$B$14="Código",(B45+E45+F45+G45)*9.45%*-1,(B45+E45+F45+G45)*11.45%*-1)</f>
        <v>-142.93721999999997</v>
      </c>
      <c r="Q45" s="3"/>
      <c r="R45" s="9">
        <f t="shared" si="27"/>
        <v>1512</v>
      </c>
      <c r="S45" s="4">
        <f t="shared" si="22"/>
        <v>0</v>
      </c>
      <c r="T45" s="4">
        <f t="shared" si="23"/>
        <v>0</v>
      </c>
      <c r="U45" s="4">
        <f t="shared" si="24"/>
        <v>126</v>
      </c>
      <c r="V45" s="4">
        <f t="shared" si="25"/>
        <v>125.95</v>
      </c>
      <c r="W45" s="4">
        <f>(0.03*(VLOOKUP(YEAR(A45),Resumen!$O$7:$P$12,2,0))*Resumen!$B$8)</f>
        <v>24</v>
      </c>
      <c r="X45" s="4">
        <f>IF(Resumen!$B$9="Sí",(((R45*0.03)+(VLOOKUP(YEAR(A45),Resumen!$O$7:$P$12,2,0)*0.05))*DATEDIF(MAX("1/5/2008",Resumen!$B$6),A45,"y")),(((R45*0.03)+(VLOOKUP(YEAR(A45),Resumen!$O$7:$P$12,2,0)*0.05))*DATEDIF(Resumen!$B$6,A45,"y")))</f>
        <v>718.96</v>
      </c>
      <c r="Y45" s="3">
        <v>50</v>
      </c>
      <c r="Z45" s="1">
        <f>IF(Resumen!$B$9="Sí",IF(DATEDIF("1/5/2008",A45,"M")/12=5,R45/2,IF(DATEDIF("1/5/2008",A45,"M")/12=10,R45,IF(DATEDIF("1/5/2008",A45,"M")/12=15,R45*1.5,IF(DATEDIF("1/5/2008",A45,"M")/12=20,R45*2,0)))),IF(DATEDIF(Resumen!$B$6,A45,"M")/12=5,R45/2,IF(DATEDIF(Resumen!$B$6,A45,"M")/12=10,R45,IF(DATEDIF(Resumen!$B$6,A45,"M")/12=15,R45*1.5,IF(DATEDIF(Resumen!$B$6,A45,"M")/12=20,R45*2,IF(DATEDIF(Resumen!$B$6,A45,"M")/12=25,R45*2.5,IF(DATEDIF(Resumen!$B$6,A45,"M")/12=30,R45*3)))))))</f>
        <v>0</v>
      </c>
      <c r="AA45" s="19">
        <f>(IF(Resumen!$B$20="Sí",IF(Resumen!$C$20&lt;=A45,IF(DATEDIF(Resumen!$C$20,A45,"Y")&lt;8,VLOOKUP(YEAR(A45),Resumen!$O$7:$P$12,2,0),0),0),0))+(IF(Resumen!$B$21="Sí",IF(Resumen!$C$21&lt;=A45,IF(DATEDIF(Resumen!$C$21,A45,"Y")&lt;8,VLOOKUP(YEAR(A45),Resumen!$O$7:$P$12,2,0),0),0),0))</f>
        <v>0</v>
      </c>
      <c r="AB45" s="1">
        <f>IF(MONTH(A45)=12,VLOOKUP(YEAR(A45),Resumen!$O$7:$P$12,2,0),0)</f>
        <v>0</v>
      </c>
      <c r="AC45" s="1">
        <f t="shared" si="28"/>
        <v>0</v>
      </c>
      <c r="AD45" s="19">
        <f>(IF(Resumen!$B$25="Sí",IF(DATE(YEAR(Resumen!$C$25),MONTH(Resumen!$C$25),1)=A45,1000,0)+(IF(Resumen!$B$26="Sí",IF(DATE(YEAR(Resumen!$C$26),MONTH(Resumen!$C$26),1)=A45,1000,0),0)),0))</f>
        <v>0</v>
      </c>
      <c r="AE45" s="1">
        <v>0</v>
      </c>
      <c r="AF45" s="1">
        <v>0</v>
      </c>
      <c r="AG45" s="19">
        <v>130</v>
      </c>
      <c r="AH45" s="1">
        <v>0</v>
      </c>
      <c r="AI45" s="19">
        <f>IF(MONTH(A45)=12,IF(Resumen!$B$9="Sí",(15+DATEDIF("1/5/2008",A45,"y")-5)*50,(15+DATEDIF(Resumen!$B$6,A45,"y")-5)*50),0)</f>
        <v>0</v>
      </c>
      <c r="AJ45" s="5">
        <f>IF(Resumen!$B$13="No",IF(Resumen!$B$12="No",20,100),0)</f>
        <v>20</v>
      </c>
      <c r="AK45" s="1">
        <f>IF(Resumen!$B$14="Código",(R45+S45+T45+X45)*9.45%*-1,(R45+S45+T45+X45)*11.45%*-1)</f>
        <v>-255.44492</v>
      </c>
      <c r="AM45" s="3">
        <f t="shared" si="29"/>
        <v>300</v>
      </c>
      <c r="AN45" s="4">
        <f t="shared" si="30"/>
        <v>0</v>
      </c>
      <c r="AO45" s="4">
        <f t="shared" si="31"/>
        <v>0</v>
      </c>
      <c r="AP45" s="4">
        <f t="shared" si="32"/>
        <v>21.97</v>
      </c>
      <c r="AQ45" s="4">
        <f t="shared" si="33"/>
        <v>21.960000000000008</v>
      </c>
      <c r="AR45" s="4">
        <f t="shared" si="34"/>
        <v>682.6</v>
      </c>
      <c r="AS45" s="4">
        <f t="shared" si="35"/>
        <v>24</v>
      </c>
      <c r="AT45" s="4">
        <f t="shared" si="36"/>
        <v>50</v>
      </c>
      <c r="AU45" s="6">
        <f t="shared" si="37"/>
        <v>0</v>
      </c>
      <c r="AV45" s="6">
        <f t="shared" si="38"/>
        <v>0</v>
      </c>
      <c r="AW45" s="6">
        <f t="shared" si="39"/>
        <v>0</v>
      </c>
      <c r="AX45" s="6">
        <f t="shared" si="40"/>
        <v>20</v>
      </c>
      <c r="AY45" s="6">
        <f t="shared" si="41"/>
        <v>0</v>
      </c>
      <c r="AZ45" s="6">
        <f t="shared" si="42"/>
        <v>0</v>
      </c>
      <c r="BA45" s="6">
        <f t="shared" si="43"/>
        <v>0</v>
      </c>
      <c r="BB45" s="6">
        <f t="shared" si="44"/>
        <v>-112.50770000000003</v>
      </c>
      <c r="BD45" s="3">
        <f t="shared" si="45"/>
        <v>1008.0223000000002</v>
      </c>
      <c r="BE45" s="3">
        <v>0</v>
      </c>
    </row>
    <row r="46" spans="1:57" x14ac:dyDescent="0.25">
      <c r="A46" s="7">
        <v>44409</v>
      </c>
      <c r="B46" s="9">
        <f>IF(Resumen!$B$14="Código",IF(A46&lt;DATE(2021,7,1),Resumen!$B$7,Resumen!$B$7+300),IF(A46&lt;DATE(2022,3,1),Resumen!$B$7,Resumen!$B$7+300))</f>
        <v>1212</v>
      </c>
      <c r="C46" s="76">
        <f>Detalle!C46</f>
        <v>0</v>
      </c>
      <c r="D46" s="76">
        <f>Detalle!D46</f>
        <v>0</v>
      </c>
      <c r="E46" s="4">
        <f t="shared" si="18"/>
        <v>0</v>
      </c>
      <c r="F46" s="4">
        <f t="shared" si="19"/>
        <v>0</v>
      </c>
      <c r="G46" s="4">
        <f>IF(Resumen!$B$14="Código",IF(A46&lt;DATE(2021,7,1),(Resumen!$B$7*0.25%)*DATEDIF("1/1/2009",A46,"y"),IF(Resumen!$B$9="Sí",(((B46*0.03)+(VLOOKUP(YEAR(A46),Resumen!$O$7:$P$12,2,0)*0.05))*DATEDIF(MAX("1/5/2008",Resumen!$B$6),A46,"y")),(((B46*0.03)+(VLOOKUP(YEAR(A46),Resumen!$O$7:$P$12,2,0)*0.05))*DATEDIF(Resumen!$B$6,A46,"y")))),IF(A46&lt;DATE(2022,3,1),(Resumen!$B$7*0.25%)*DATEDIF("1/1/2009",A46,"y"),IF(Resumen!$B$9="Sí",(((B46*0.03)+(VLOOKUP(YEAR(A46),Resumen!$O$7:$P$12,2,0)*0.05))*DATEDIF(MAX("1/5/2008",Resumen!$B$6),A46,"y")),(((B46*0.03)+(VLOOKUP(YEAR(A46),Resumen!$O$7:$P$12,2,0)*0.05))*DATEDIF(Resumen!$B$6,A46,"y")))))</f>
        <v>36.36</v>
      </c>
      <c r="H46" s="4">
        <f t="shared" si="20"/>
        <v>104.03</v>
      </c>
      <c r="I46" s="4">
        <f t="shared" si="21"/>
        <v>103.99</v>
      </c>
      <c r="J46" s="1">
        <f>IF(Resumen!$B$14="Código",IF(A46&lt;DATE(2021,7,1),0,(0.03*(VLOOKUP(YEAR(A46),Resumen!$O$7:$P$12,2,0))*Resumen!$B$8)),IF(A46&lt;DATE(2022,3,1),0,(0.03*(VLOOKUP(YEAR(A46),Resumen!$O$7:$P$12,2,0))*Resumen!$B$8)))</f>
        <v>0</v>
      </c>
      <c r="K46" s="1">
        <f>IF(Resumen!$B$14="Código",IF(A46&lt;DATE(2021,7,1),0,50),IF(A46&lt;DATE(2022,3,1),0,50))</f>
        <v>0</v>
      </c>
      <c r="L46" s="1">
        <v>0</v>
      </c>
      <c r="M46" s="1">
        <v>0</v>
      </c>
      <c r="N46" s="1">
        <v>0</v>
      </c>
      <c r="O46" s="1">
        <v>0</v>
      </c>
      <c r="P46" s="1">
        <f>IF(Resumen!$B$14="Código",(B46+E46+F46+G46)*9.45%*-1,(B46+E46+F46+G46)*11.45%*-1)</f>
        <v>-142.93721999999997</v>
      </c>
      <c r="Q46" s="3"/>
      <c r="R46" s="9">
        <f t="shared" si="27"/>
        <v>1512</v>
      </c>
      <c r="S46" s="4">
        <f t="shared" si="22"/>
        <v>0</v>
      </c>
      <c r="T46" s="4">
        <f t="shared" si="23"/>
        <v>0</v>
      </c>
      <c r="U46" s="4">
        <f t="shared" si="24"/>
        <v>126</v>
      </c>
      <c r="V46" s="4">
        <f t="shared" si="25"/>
        <v>125.95</v>
      </c>
      <c r="W46" s="4">
        <f>(0.03*(VLOOKUP(YEAR(A46),Resumen!$O$7:$P$12,2,0))*Resumen!$B$8)</f>
        <v>24</v>
      </c>
      <c r="X46" s="4">
        <f>IF(Resumen!$B$9="Sí",(((R46*0.03)+(VLOOKUP(YEAR(A46),Resumen!$O$7:$P$12,2,0)*0.05))*DATEDIF(MAX("1/5/2008",Resumen!$B$6),A46,"y")),(((R46*0.03)+(VLOOKUP(YEAR(A46),Resumen!$O$7:$P$12,2,0)*0.05))*DATEDIF(Resumen!$B$6,A46,"y")))</f>
        <v>718.96</v>
      </c>
      <c r="Y46" s="3">
        <v>50</v>
      </c>
      <c r="Z46" s="1">
        <f>IF(Resumen!$B$9="Sí",IF(DATEDIF("1/5/2008",A46,"M")/12=5,R46/2,IF(DATEDIF("1/5/2008",A46,"M")/12=10,R46,IF(DATEDIF("1/5/2008",A46,"M")/12=15,R46*1.5,IF(DATEDIF("1/5/2008",A46,"M")/12=20,R46*2,0)))),IF(DATEDIF(Resumen!$B$6,A46,"M")/12=5,R46/2,IF(DATEDIF(Resumen!$B$6,A46,"M")/12=10,R46,IF(DATEDIF(Resumen!$B$6,A46,"M")/12=15,R46*1.5,IF(DATEDIF(Resumen!$B$6,A46,"M")/12=20,R46*2,IF(DATEDIF(Resumen!$B$6,A46,"M")/12=25,R46*2.5,IF(DATEDIF(Resumen!$B$6,A46,"M")/12=30,R46*3)))))))</f>
        <v>0</v>
      </c>
      <c r="AA46" s="19">
        <f>(IF(Resumen!$B$20="Sí",IF(Resumen!$C$20&lt;=A46,IF(DATEDIF(Resumen!$C$20,A46,"Y")&lt;8,VLOOKUP(YEAR(A46),Resumen!$O$7:$P$12,2,0),0),0),0))+(IF(Resumen!$B$21="Sí",IF(Resumen!$C$21&lt;=A46,IF(DATEDIF(Resumen!$C$21,A46,"Y")&lt;8,VLOOKUP(YEAR(A46),Resumen!$O$7:$P$12,2,0),0),0),0))</f>
        <v>0</v>
      </c>
      <c r="AB46" s="1">
        <f>IF(MONTH(A46)=12,VLOOKUP(YEAR(A46),Resumen!$O$7:$P$12,2,0),0)</f>
        <v>0</v>
      </c>
      <c r="AC46" s="1">
        <f t="shared" si="28"/>
        <v>0</v>
      </c>
      <c r="AD46" s="19">
        <f>(IF(Resumen!$B$25="Sí",IF(DATE(YEAR(Resumen!$C$25),MONTH(Resumen!$C$25),1)=A46,1000,0)+(IF(Resumen!$B$26="Sí",IF(DATE(YEAR(Resumen!$C$26),MONTH(Resumen!$C$26),1)=A46,1000,0),0)),0))</f>
        <v>0</v>
      </c>
      <c r="AE46" s="1">
        <v>0</v>
      </c>
      <c r="AF46" s="1">
        <v>0</v>
      </c>
      <c r="AG46" s="19">
        <v>130</v>
      </c>
      <c r="AH46" s="1">
        <v>0</v>
      </c>
      <c r="AI46" s="19">
        <f>IF(MONTH(A46)=12,IF(Resumen!$B$9="Sí",(15+DATEDIF("1/5/2008",A46,"y")-5)*50,(15+DATEDIF(Resumen!$B$6,A46,"y")-5)*50),0)</f>
        <v>0</v>
      </c>
      <c r="AJ46" s="5">
        <f>IF(Resumen!$B$13="No",IF(Resumen!$B$12="No",20,100),0)</f>
        <v>20</v>
      </c>
      <c r="AK46" s="1">
        <f>IF(Resumen!$B$14="Código",(R46+S46+T46+X46)*9.45%*-1,(R46+S46+T46+X46)*11.45%*-1)</f>
        <v>-255.44492</v>
      </c>
      <c r="AM46" s="3">
        <f t="shared" si="29"/>
        <v>300</v>
      </c>
      <c r="AN46" s="4">
        <f t="shared" si="30"/>
        <v>0</v>
      </c>
      <c r="AO46" s="4">
        <f t="shared" si="31"/>
        <v>0</v>
      </c>
      <c r="AP46" s="4">
        <f t="shared" si="32"/>
        <v>21.97</v>
      </c>
      <c r="AQ46" s="4">
        <f t="shared" si="33"/>
        <v>21.960000000000008</v>
      </c>
      <c r="AR46" s="4">
        <f t="shared" si="34"/>
        <v>682.6</v>
      </c>
      <c r="AS46" s="4">
        <f t="shared" si="35"/>
        <v>24</v>
      </c>
      <c r="AT46" s="4">
        <f t="shared" si="36"/>
        <v>50</v>
      </c>
      <c r="AU46" s="6">
        <f t="shared" si="37"/>
        <v>0</v>
      </c>
      <c r="AV46" s="6">
        <f t="shared" si="38"/>
        <v>0</v>
      </c>
      <c r="AW46" s="6">
        <f t="shared" si="39"/>
        <v>0</v>
      </c>
      <c r="AX46" s="6">
        <f t="shared" si="40"/>
        <v>20</v>
      </c>
      <c r="AY46" s="6">
        <f t="shared" si="41"/>
        <v>0</v>
      </c>
      <c r="AZ46" s="6">
        <f t="shared" si="42"/>
        <v>0</v>
      </c>
      <c r="BA46" s="6">
        <f t="shared" si="43"/>
        <v>0</v>
      </c>
      <c r="BB46" s="6">
        <f t="shared" si="44"/>
        <v>-112.50770000000003</v>
      </c>
      <c r="BD46" s="3">
        <f t="shared" si="45"/>
        <v>1008.0223000000002</v>
      </c>
      <c r="BE46" s="3">
        <v>0</v>
      </c>
    </row>
    <row r="47" spans="1:57" x14ac:dyDescent="0.25">
      <c r="A47" s="7">
        <v>44440</v>
      </c>
      <c r="B47" s="9">
        <f>IF(Resumen!$B$14="Código",IF(A47&lt;DATE(2021,7,1),Resumen!$B$7,Resumen!$B$7+300),IF(A47&lt;DATE(2022,3,1),Resumen!$B$7,Resumen!$B$7+300))</f>
        <v>1212</v>
      </c>
      <c r="C47" s="76">
        <f>Detalle!C47</f>
        <v>0</v>
      </c>
      <c r="D47" s="76">
        <f>Detalle!D47</f>
        <v>8</v>
      </c>
      <c r="E47" s="4">
        <f t="shared" si="18"/>
        <v>0</v>
      </c>
      <c r="F47" s="4">
        <f t="shared" si="19"/>
        <v>80.8</v>
      </c>
      <c r="G47" s="4">
        <f>IF(Resumen!$B$14="Código",IF(A47&lt;DATE(2021,7,1),(Resumen!$B$7*0.25%)*DATEDIF("1/1/2009",A47,"y"),IF(Resumen!$B$9="Sí",(((B47*0.03)+(VLOOKUP(YEAR(A47),Resumen!$O$7:$P$12,2,0)*0.05))*DATEDIF(MAX("1/5/2008",Resumen!$B$6),A47,"y")),(((B47*0.03)+(VLOOKUP(YEAR(A47),Resumen!$O$7:$P$12,2,0)*0.05))*DATEDIF(Resumen!$B$6,A47,"y")))),IF(A47&lt;DATE(2022,3,1),(Resumen!$B$7*0.25%)*DATEDIF("1/1/2009",A47,"y"),IF(Resumen!$B$9="Sí",(((B47*0.03)+(VLOOKUP(YEAR(A47),Resumen!$O$7:$P$12,2,0)*0.05))*DATEDIF(MAX("1/5/2008",Resumen!$B$6),A47,"y")),(((B47*0.03)+(VLOOKUP(YEAR(A47),Resumen!$O$7:$P$12,2,0)*0.05))*DATEDIF(Resumen!$B$6,A47,"y")))))</f>
        <v>36.36</v>
      </c>
      <c r="H47" s="4">
        <f t="shared" si="20"/>
        <v>110.76</v>
      </c>
      <c r="I47" s="4">
        <f t="shared" si="21"/>
        <v>110.72</v>
      </c>
      <c r="J47" s="1">
        <f>IF(Resumen!$B$14="Código",IF(A47&lt;DATE(2021,7,1),0,(0.03*(VLOOKUP(YEAR(A47),Resumen!$O$7:$P$12,2,0))*Resumen!$B$8)),IF(A47&lt;DATE(2022,3,1),0,(0.03*(VLOOKUP(YEAR(A47),Resumen!$O$7:$P$12,2,0))*Resumen!$B$8)))</f>
        <v>0</v>
      </c>
      <c r="K47" s="1">
        <f>IF(Resumen!$B$14="Código",IF(A47&lt;DATE(2021,7,1),0,50),IF(A47&lt;DATE(2022,3,1),0,50))</f>
        <v>0</v>
      </c>
      <c r="L47" s="1">
        <v>0</v>
      </c>
      <c r="M47" s="1">
        <v>0</v>
      </c>
      <c r="N47" s="1">
        <v>0</v>
      </c>
      <c r="O47" s="1">
        <v>0</v>
      </c>
      <c r="P47" s="1">
        <f>IF(Resumen!$B$14="Código",(B47+E47+F47+G47)*9.45%*-1,(B47+E47+F47+G47)*11.45%*-1)</f>
        <v>-152.18881999999996</v>
      </c>
      <c r="Q47" s="3"/>
      <c r="R47" s="9">
        <f t="shared" si="27"/>
        <v>1512</v>
      </c>
      <c r="S47" s="4">
        <f t="shared" si="22"/>
        <v>0</v>
      </c>
      <c r="T47" s="4">
        <f t="shared" si="23"/>
        <v>100.8</v>
      </c>
      <c r="U47" s="4">
        <f t="shared" si="24"/>
        <v>134.4</v>
      </c>
      <c r="V47" s="4">
        <f t="shared" si="25"/>
        <v>134.35</v>
      </c>
      <c r="W47" s="4">
        <f>(0.03*(VLOOKUP(YEAR(A47),Resumen!$O$7:$P$12,2,0))*Resumen!$B$8)</f>
        <v>24</v>
      </c>
      <c r="X47" s="4">
        <f>IF(Resumen!$B$9="Sí",(((R47*0.03)+(VLOOKUP(YEAR(A47),Resumen!$O$7:$P$12,2,0)*0.05))*DATEDIF(MAX("1/5/2008",Resumen!$B$6),A47,"y")),(((R47*0.03)+(VLOOKUP(YEAR(A47),Resumen!$O$7:$P$12,2,0)*0.05))*DATEDIF(Resumen!$B$6,A47,"y")))</f>
        <v>718.96</v>
      </c>
      <c r="Y47" s="3">
        <v>50</v>
      </c>
      <c r="Z47" s="1">
        <f>IF(Resumen!$B$9="Sí",IF(DATEDIF("1/5/2008",A47,"M")/12=5,R47/2,IF(DATEDIF("1/5/2008",A47,"M")/12=10,R47,IF(DATEDIF("1/5/2008",A47,"M")/12=15,R47*1.5,IF(DATEDIF("1/5/2008",A47,"M")/12=20,R47*2,0)))),IF(DATEDIF(Resumen!$B$6,A47,"M")/12=5,R47/2,IF(DATEDIF(Resumen!$B$6,A47,"M")/12=10,R47,IF(DATEDIF(Resumen!$B$6,A47,"M")/12=15,R47*1.5,IF(DATEDIF(Resumen!$B$6,A47,"M")/12=20,R47*2,IF(DATEDIF(Resumen!$B$6,A47,"M")/12=25,R47*2.5,IF(DATEDIF(Resumen!$B$6,A47,"M")/12=30,R47*3)))))))</f>
        <v>0</v>
      </c>
      <c r="AA47" s="19">
        <f>(IF(Resumen!$B$20="Sí",IF(Resumen!$C$20&lt;=A47,IF(DATEDIF(Resumen!$C$20,A47,"Y")&lt;8,VLOOKUP(YEAR(A47),Resumen!$O$7:$P$12,2,0),0),0),0))+(IF(Resumen!$B$21="Sí",IF(Resumen!$C$21&lt;=A47,IF(DATEDIF(Resumen!$C$21,A47,"Y")&lt;8,VLOOKUP(YEAR(A47),Resumen!$O$7:$P$12,2,0),0),0),0))</f>
        <v>0</v>
      </c>
      <c r="AB47" s="1">
        <f>IF(MONTH(A47)=12,VLOOKUP(YEAR(A47),Resumen!$O$7:$P$12,2,0),0)</f>
        <v>0</v>
      </c>
      <c r="AC47" s="1">
        <f t="shared" si="28"/>
        <v>0</v>
      </c>
      <c r="AD47" s="19">
        <f>(IF(Resumen!$B$25="Sí",IF(DATE(YEAR(Resumen!$C$25),MONTH(Resumen!$C$25),1)=A47,1000,0)+(IF(Resumen!$B$26="Sí",IF(DATE(YEAR(Resumen!$C$26),MONTH(Resumen!$C$26),1)=A47,1000,0),0)),0))</f>
        <v>0</v>
      </c>
      <c r="AE47" s="1">
        <v>0</v>
      </c>
      <c r="AF47" s="1">
        <v>0</v>
      </c>
      <c r="AG47" s="19">
        <v>130</v>
      </c>
      <c r="AH47" s="1">
        <v>0</v>
      </c>
      <c r="AI47" s="19">
        <f>IF(MONTH(A47)=12,IF(Resumen!$B$9="Sí",(15+DATEDIF("1/5/2008",A47,"y")-5)*50,(15+DATEDIF(Resumen!$B$6,A47,"y")-5)*50),0)</f>
        <v>0</v>
      </c>
      <c r="AJ47" s="5">
        <f>IF(Resumen!$B$13="No",IF(Resumen!$B$12="No",20,100),0)</f>
        <v>20</v>
      </c>
      <c r="AK47" s="1">
        <f>IF(Resumen!$B$14="Código",(R47+S47+T47+X47)*9.45%*-1,(R47+S47+T47+X47)*11.45%*-1)</f>
        <v>-266.98651999999998</v>
      </c>
      <c r="AM47" s="3">
        <f t="shared" si="29"/>
        <v>300</v>
      </c>
      <c r="AN47" s="4">
        <f t="shared" si="30"/>
        <v>0</v>
      </c>
      <c r="AO47" s="4">
        <f t="shared" si="31"/>
        <v>20</v>
      </c>
      <c r="AP47" s="4">
        <f t="shared" si="32"/>
        <v>23.64</v>
      </c>
      <c r="AQ47" s="4">
        <f t="shared" si="33"/>
        <v>23.629999999999995</v>
      </c>
      <c r="AR47" s="4">
        <f t="shared" si="34"/>
        <v>682.6</v>
      </c>
      <c r="AS47" s="4">
        <f t="shared" si="35"/>
        <v>24</v>
      </c>
      <c r="AT47" s="4">
        <f t="shared" si="36"/>
        <v>50</v>
      </c>
      <c r="AU47" s="6">
        <f t="shared" si="37"/>
        <v>0</v>
      </c>
      <c r="AV47" s="6">
        <f t="shared" si="38"/>
        <v>0</v>
      </c>
      <c r="AW47" s="6">
        <f t="shared" si="39"/>
        <v>0</v>
      </c>
      <c r="AX47" s="6">
        <f t="shared" si="40"/>
        <v>20</v>
      </c>
      <c r="AY47" s="6">
        <f t="shared" si="41"/>
        <v>0</v>
      </c>
      <c r="AZ47" s="6">
        <f t="shared" si="42"/>
        <v>0</v>
      </c>
      <c r="BA47" s="6">
        <f t="shared" si="43"/>
        <v>0</v>
      </c>
      <c r="BB47" s="6">
        <f t="shared" si="44"/>
        <v>-114.79770000000002</v>
      </c>
      <c r="BD47" s="3">
        <f t="shared" si="45"/>
        <v>1029.0722999999998</v>
      </c>
      <c r="BE47" s="3">
        <v>0</v>
      </c>
    </row>
    <row r="48" spans="1:57" x14ac:dyDescent="0.25">
      <c r="A48" s="7">
        <v>44470</v>
      </c>
      <c r="B48" s="9">
        <f>IF(Resumen!$B$14="Código",IF(A48&lt;DATE(2021,7,1),Resumen!$B$7,Resumen!$B$7+300),IF(A48&lt;DATE(2022,3,1),Resumen!$B$7,Resumen!$B$7+300))</f>
        <v>1212</v>
      </c>
      <c r="C48" s="76">
        <f>Detalle!C48</f>
        <v>0</v>
      </c>
      <c r="D48" s="76">
        <f>Detalle!D48</f>
        <v>0</v>
      </c>
      <c r="E48" s="4">
        <f t="shared" si="18"/>
        <v>0</v>
      </c>
      <c r="F48" s="4">
        <f t="shared" si="19"/>
        <v>0</v>
      </c>
      <c r="G48" s="4">
        <f>IF(Resumen!$B$14="Código",IF(A48&lt;DATE(2021,7,1),(Resumen!$B$7*0.25%)*DATEDIF("1/1/2009",A48,"y"),IF(Resumen!$B$9="Sí",(((B48*0.03)+(VLOOKUP(YEAR(A48),Resumen!$O$7:$P$12,2,0)*0.05))*DATEDIF(MAX("1/5/2008",Resumen!$B$6),A48,"y")),(((B48*0.03)+(VLOOKUP(YEAR(A48),Resumen!$O$7:$P$12,2,0)*0.05))*DATEDIF(Resumen!$B$6,A48,"y")))),IF(A48&lt;DATE(2022,3,1),(Resumen!$B$7*0.25%)*DATEDIF("1/1/2009",A48,"y"),IF(Resumen!$B$9="Sí",(((B48*0.03)+(VLOOKUP(YEAR(A48),Resumen!$O$7:$P$12,2,0)*0.05))*DATEDIF(MAX("1/5/2008",Resumen!$B$6),A48,"y")),(((B48*0.03)+(VLOOKUP(YEAR(A48),Resumen!$O$7:$P$12,2,0)*0.05))*DATEDIF(Resumen!$B$6,A48,"y")))))</f>
        <v>36.36</v>
      </c>
      <c r="H48" s="4">
        <f t="shared" si="20"/>
        <v>104.03</v>
      </c>
      <c r="I48" s="4">
        <f t="shared" si="21"/>
        <v>103.99</v>
      </c>
      <c r="J48" s="1">
        <f>IF(Resumen!$B$14="Código",IF(A48&lt;DATE(2021,7,1),0,(0.03*(VLOOKUP(YEAR(A48),Resumen!$O$7:$P$12,2,0))*Resumen!$B$8)),IF(A48&lt;DATE(2022,3,1),0,(0.03*(VLOOKUP(YEAR(A48),Resumen!$O$7:$P$12,2,0))*Resumen!$B$8)))</f>
        <v>0</v>
      </c>
      <c r="K48" s="1">
        <f>IF(Resumen!$B$14="Código",IF(A48&lt;DATE(2021,7,1),0,50),IF(A48&lt;DATE(2022,3,1),0,50))</f>
        <v>0</v>
      </c>
      <c r="L48" s="1">
        <v>0</v>
      </c>
      <c r="M48" s="1">
        <v>0</v>
      </c>
      <c r="N48" s="1">
        <v>0</v>
      </c>
      <c r="O48" s="1">
        <v>0</v>
      </c>
      <c r="P48" s="1">
        <f>IF(Resumen!$B$14="Código",(B48+E48+F48+G48)*9.45%*-1,(B48+E48+F48+G48)*11.45%*-1)</f>
        <v>-142.93721999999997</v>
      </c>
      <c r="Q48" s="3"/>
      <c r="R48" s="9">
        <f t="shared" si="27"/>
        <v>1512</v>
      </c>
      <c r="S48" s="4">
        <f t="shared" si="22"/>
        <v>0</v>
      </c>
      <c r="T48" s="4">
        <f t="shared" si="23"/>
        <v>0</v>
      </c>
      <c r="U48" s="4">
        <f t="shared" si="24"/>
        <v>126</v>
      </c>
      <c r="V48" s="4">
        <f t="shared" si="25"/>
        <v>125.95</v>
      </c>
      <c r="W48" s="4">
        <f>(0.03*(VLOOKUP(YEAR(A48),Resumen!$O$7:$P$12,2,0))*Resumen!$B$8)</f>
        <v>24</v>
      </c>
      <c r="X48" s="4">
        <f>IF(Resumen!$B$9="Sí",(((R48*0.03)+(VLOOKUP(YEAR(A48),Resumen!$O$7:$P$12,2,0)*0.05))*DATEDIF(MAX("1/5/2008",Resumen!$B$6),A48,"y")),(((R48*0.03)+(VLOOKUP(YEAR(A48),Resumen!$O$7:$P$12,2,0)*0.05))*DATEDIF(Resumen!$B$6,A48,"y")))</f>
        <v>718.96</v>
      </c>
      <c r="Y48" s="3">
        <v>50</v>
      </c>
      <c r="Z48" s="1">
        <f>IF(Resumen!$B$9="Sí",IF(DATEDIF("1/5/2008",A48,"M")/12=5,R48/2,IF(DATEDIF("1/5/2008",A48,"M")/12=10,R48,IF(DATEDIF("1/5/2008",A48,"M")/12=15,R48*1.5,IF(DATEDIF("1/5/2008",A48,"M")/12=20,R48*2,0)))),IF(DATEDIF(Resumen!$B$6,A48,"M")/12=5,R48/2,IF(DATEDIF(Resumen!$B$6,A48,"M")/12=10,R48,IF(DATEDIF(Resumen!$B$6,A48,"M")/12=15,R48*1.5,IF(DATEDIF(Resumen!$B$6,A48,"M")/12=20,R48*2,IF(DATEDIF(Resumen!$B$6,A48,"M")/12=25,R48*2.5,IF(DATEDIF(Resumen!$B$6,A48,"M")/12=30,R48*3)))))))</f>
        <v>0</v>
      </c>
      <c r="AA48" s="19">
        <f>(IF(Resumen!$B$20="Sí",IF(Resumen!$C$20&lt;=A48,IF(DATEDIF(Resumen!$C$20,A48,"Y")&lt;8,VLOOKUP(YEAR(A48),Resumen!$O$7:$P$12,2,0),0),0),0))+(IF(Resumen!$B$21="Sí",IF(Resumen!$C$21&lt;=A48,IF(DATEDIF(Resumen!$C$21,A48,"Y")&lt;8,VLOOKUP(YEAR(A48),Resumen!$O$7:$P$12,2,0),0),0),0))</f>
        <v>0</v>
      </c>
      <c r="AB48" s="1">
        <f>IF(MONTH(A48)=12,VLOOKUP(YEAR(A48),Resumen!$O$7:$P$12,2,0),0)</f>
        <v>0</v>
      </c>
      <c r="AC48" s="1">
        <f t="shared" si="28"/>
        <v>0</v>
      </c>
      <c r="AD48" s="19">
        <f>(IF(Resumen!$B$25="Sí",IF(DATE(YEAR(Resumen!$C$25),MONTH(Resumen!$C$25),1)=A48,1000,0)+(IF(Resumen!$B$26="Sí",IF(DATE(YEAR(Resumen!$C$26),MONTH(Resumen!$C$26),1)=A48,1000,0),0)),0))</f>
        <v>0</v>
      </c>
      <c r="AE48" s="1">
        <v>0</v>
      </c>
      <c r="AF48" s="1">
        <v>0</v>
      </c>
      <c r="AG48" s="19">
        <v>130</v>
      </c>
      <c r="AH48" s="1">
        <v>0</v>
      </c>
      <c r="AI48" s="19">
        <f>IF(MONTH(A48)=12,IF(Resumen!$B$9="Sí",(15+DATEDIF("1/5/2008",A48,"y")-5)*50,(15+DATEDIF(Resumen!$B$6,A48,"y")-5)*50),0)</f>
        <v>0</v>
      </c>
      <c r="AJ48" s="5">
        <f>IF(Resumen!$B$13="No",IF(Resumen!$B$12="No",20,100),0)</f>
        <v>20</v>
      </c>
      <c r="AK48" s="1">
        <f>IF(Resumen!$B$14="Código",(R48+S48+T48+X48)*9.45%*-1,(R48+S48+T48+X48)*11.45%*-1)</f>
        <v>-255.44492</v>
      </c>
      <c r="AM48" s="3">
        <f t="shared" si="29"/>
        <v>300</v>
      </c>
      <c r="AN48" s="4">
        <f t="shared" si="30"/>
        <v>0</v>
      </c>
      <c r="AO48" s="4">
        <f t="shared" si="31"/>
        <v>0</v>
      </c>
      <c r="AP48" s="4">
        <f t="shared" si="32"/>
        <v>21.97</v>
      </c>
      <c r="AQ48" s="4">
        <f t="shared" si="33"/>
        <v>21.960000000000008</v>
      </c>
      <c r="AR48" s="4">
        <f t="shared" si="34"/>
        <v>682.6</v>
      </c>
      <c r="AS48" s="4">
        <f t="shared" si="35"/>
        <v>24</v>
      </c>
      <c r="AT48" s="4">
        <f t="shared" si="36"/>
        <v>50</v>
      </c>
      <c r="AU48" s="6">
        <f t="shared" si="37"/>
        <v>0</v>
      </c>
      <c r="AV48" s="6">
        <f t="shared" si="38"/>
        <v>0</v>
      </c>
      <c r="AW48" s="6">
        <f t="shared" si="39"/>
        <v>0</v>
      </c>
      <c r="AX48" s="6">
        <f t="shared" si="40"/>
        <v>20</v>
      </c>
      <c r="AY48" s="6">
        <f t="shared" si="41"/>
        <v>0</v>
      </c>
      <c r="AZ48" s="6">
        <f t="shared" si="42"/>
        <v>0</v>
      </c>
      <c r="BA48" s="6">
        <f t="shared" si="43"/>
        <v>0</v>
      </c>
      <c r="BB48" s="6">
        <f t="shared" si="44"/>
        <v>-112.50770000000003</v>
      </c>
      <c r="BD48" s="3">
        <f t="shared" si="45"/>
        <v>1008.0223000000002</v>
      </c>
      <c r="BE48" s="3">
        <v>0</v>
      </c>
    </row>
    <row r="49" spans="1:57" x14ac:dyDescent="0.25">
      <c r="A49" s="7">
        <v>44501</v>
      </c>
      <c r="B49" s="9">
        <f>IF(Resumen!$B$14="Código",IF(A49&lt;DATE(2021,7,1),Resumen!$B$7,Resumen!$B$7+300),IF(A49&lt;DATE(2022,3,1),Resumen!$B$7,Resumen!$B$7+300))</f>
        <v>1212</v>
      </c>
      <c r="C49" s="76">
        <f>Detalle!C49</f>
        <v>9</v>
      </c>
      <c r="D49" s="76">
        <f>Detalle!D49</f>
        <v>8</v>
      </c>
      <c r="E49" s="4">
        <f t="shared" si="18"/>
        <v>68.180000000000007</v>
      </c>
      <c r="F49" s="4">
        <f t="shared" si="19"/>
        <v>80.8</v>
      </c>
      <c r="G49" s="4">
        <f>IF(Resumen!$B$14="Código",IF(A49&lt;DATE(2021,7,1),(Resumen!$B$7*0.25%)*DATEDIF("1/1/2009",A49,"y"),IF(Resumen!$B$9="Sí",(((B49*0.03)+(VLOOKUP(YEAR(A49),Resumen!$O$7:$P$12,2,0)*0.05))*DATEDIF(MAX("1/5/2008",Resumen!$B$6),A49,"y")),(((B49*0.03)+(VLOOKUP(YEAR(A49),Resumen!$O$7:$P$12,2,0)*0.05))*DATEDIF(Resumen!$B$6,A49,"y")))),IF(A49&lt;DATE(2022,3,1),(Resumen!$B$7*0.25%)*DATEDIF("1/1/2009",A49,"y"),IF(Resumen!$B$9="Sí",(((B49*0.03)+(VLOOKUP(YEAR(A49),Resumen!$O$7:$P$12,2,0)*0.05))*DATEDIF(MAX("1/5/2008",Resumen!$B$6),A49,"y")),(((B49*0.03)+(VLOOKUP(YEAR(A49),Resumen!$O$7:$P$12,2,0)*0.05))*DATEDIF(Resumen!$B$6,A49,"y")))))</f>
        <v>36.36</v>
      </c>
      <c r="H49" s="4">
        <f t="shared" si="20"/>
        <v>116.45</v>
      </c>
      <c r="I49" s="4">
        <f t="shared" si="21"/>
        <v>116.4</v>
      </c>
      <c r="J49" s="1">
        <f>IF(Resumen!$B$14="Código",IF(A49&lt;DATE(2021,7,1),0,(0.03*(VLOOKUP(YEAR(A49),Resumen!$O$7:$P$12,2,0))*Resumen!$B$8)),IF(A49&lt;DATE(2022,3,1),0,(0.03*(VLOOKUP(YEAR(A49),Resumen!$O$7:$P$12,2,0))*Resumen!$B$8)))</f>
        <v>0</v>
      </c>
      <c r="K49" s="1">
        <f>IF(Resumen!$B$14="Código",IF(A49&lt;DATE(2021,7,1),0,50),IF(A49&lt;DATE(2022,3,1),0,50))</f>
        <v>0</v>
      </c>
      <c r="L49" s="1">
        <v>0</v>
      </c>
      <c r="M49" s="1">
        <v>0</v>
      </c>
      <c r="N49" s="1">
        <v>0</v>
      </c>
      <c r="O49" s="1">
        <v>0</v>
      </c>
      <c r="P49" s="1">
        <f>IF(Resumen!$B$14="Código",(B49+E49+F49+G49)*9.45%*-1,(B49+E49+F49+G49)*11.45%*-1)</f>
        <v>-159.99542999999997</v>
      </c>
      <c r="Q49" s="3"/>
      <c r="R49" s="9">
        <f t="shared" si="27"/>
        <v>1512</v>
      </c>
      <c r="S49" s="4">
        <f t="shared" si="22"/>
        <v>85.05</v>
      </c>
      <c r="T49" s="4">
        <f t="shared" si="23"/>
        <v>100.8</v>
      </c>
      <c r="U49" s="4">
        <f t="shared" si="24"/>
        <v>141.49</v>
      </c>
      <c r="V49" s="4">
        <f t="shared" si="25"/>
        <v>141.43</v>
      </c>
      <c r="W49" s="4">
        <f>(0.03*(VLOOKUP(YEAR(A49),Resumen!$O$7:$P$12,2,0))*Resumen!$B$8)</f>
        <v>24</v>
      </c>
      <c r="X49" s="4">
        <f>IF(Resumen!$B$9="Sí",(((R49*0.03)+(VLOOKUP(YEAR(A49),Resumen!$O$7:$P$12,2,0)*0.05))*DATEDIF(MAX("1/5/2008",Resumen!$B$6),A49,"y")),(((R49*0.03)+(VLOOKUP(YEAR(A49),Resumen!$O$7:$P$12,2,0)*0.05))*DATEDIF(Resumen!$B$6,A49,"y")))</f>
        <v>718.96</v>
      </c>
      <c r="Y49" s="3">
        <v>50</v>
      </c>
      <c r="Z49" s="1">
        <f>IF(Resumen!$B$9="Sí",IF(DATEDIF("1/5/2008",A49,"M")/12=5,R49/2,IF(DATEDIF("1/5/2008",A49,"M")/12=10,R49,IF(DATEDIF("1/5/2008",A49,"M")/12=15,R49*1.5,IF(DATEDIF("1/5/2008",A49,"M")/12=20,R49*2,0)))),IF(DATEDIF(Resumen!$B$6,A49,"M")/12=5,R49/2,IF(DATEDIF(Resumen!$B$6,A49,"M")/12=10,R49,IF(DATEDIF(Resumen!$B$6,A49,"M")/12=15,R49*1.5,IF(DATEDIF(Resumen!$B$6,A49,"M")/12=20,R49*2,IF(DATEDIF(Resumen!$B$6,A49,"M")/12=25,R49*2.5,IF(DATEDIF(Resumen!$B$6,A49,"M")/12=30,R49*3)))))))</f>
        <v>0</v>
      </c>
      <c r="AA49" s="19">
        <f>(IF(Resumen!$B$20="Sí",IF(Resumen!$C$20&lt;=A49,IF(DATEDIF(Resumen!$C$20,A49,"Y")&lt;8,VLOOKUP(YEAR(A49),Resumen!$O$7:$P$12,2,0),0),0),0))+(IF(Resumen!$B$21="Sí",IF(Resumen!$C$21&lt;=A49,IF(DATEDIF(Resumen!$C$21,A49,"Y")&lt;8,VLOOKUP(YEAR(A49),Resumen!$O$7:$P$12,2,0),0),0),0))</f>
        <v>0</v>
      </c>
      <c r="AB49" s="1">
        <f>IF(MONTH(A49)=12,VLOOKUP(YEAR(A49),Resumen!$O$7:$P$12,2,0),0)</f>
        <v>0</v>
      </c>
      <c r="AC49" s="1">
        <f t="shared" si="28"/>
        <v>0</v>
      </c>
      <c r="AD49" s="19">
        <f>(IF(Resumen!$B$25="Sí",IF(DATE(YEAR(Resumen!$C$25),MONTH(Resumen!$C$25),1)=A49,1000,0)+(IF(Resumen!$B$26="Sí",IF(DATE(YEAR(Resumen!$C$26),MONTH(Resumen!$C$26),1)=A49,1000,0),0)),0))</f>
        <v>0</v>
      </c>
      <c r="AE49" s="1">
        <v>0</v>
      </c>
      <c r="AF49" s="1">
        <v>0</v>
      </c>
      <c r="AG49" s="19">
        <v>130</v>
      </c>
      <c r="AH49" s="1">
        <v>0</v>
      </c>
      <c r="AI49" s="19">
        <f>IF(MONTH(A49)=12,IF(Resumen!$B$9="Sí",(15+DATEDIF("1/5/2008",A49,"y")-5)*50,(15+DATEDIF(Resumen!$B$6,A49,"y")-5)*50),0)</f>
        <v>0</v>
      </c>
      <c r="AJ49" s="5">
        <f>IF(Resumen!$B$13="No",IF(Resumen!$B$12="No",20,100),0)</f>
        <v>20</v>
      </c>
      <c r="AK49" s="1">
        <f>IF(Resumen!$B$14="Código",(R49+S49+T49+X49)*9.45%*-1,(R49+S49+T49+X49)*11.45%*-1)</f>
        <v>-276.72474499999998</v>
      </c>
      <c r="AM49" s="3">
        <f t="shared" si="29"/>
        <v>300</v>
      </c>
      <c r="AN49" s="4">
        <f t="shared" si="30"/>
        <v>16.86999999999999</v>
      </c>
      <c r="AO49" s="4">
        <f t="shared" si="31"/>
        <v>20</v>
      </c>
      <c r="AP49" s="4">
        <f t="shared" si="32"/>
        <v>25.040000000000006</v>
      </c>
      <c r="AQ49" s="4">
        <f t="shared" si="33"/>
        <v>25.03</v>
      </c>
      <c r="AR49" s="4">
        <f t="shared" si="34"/>
        <v>682.6</v>
      </c>
      <c r="AS49" s="4">
        <f t="shared" si="35"/>
        <v>24</v>
      </c>
      <c r="AT49" s="4">
        <f t="shared" si="36"/>
        <v>50</v>
      </c>
      <c r="AU49" s="6">
        <f t="shared" si="37"/>
        <v>0</v>
      </c>
      <c r="AV49" s="6">
        <f t="shared" si="38"/>
        <v>0</v>
      </c>
      <c r="AW49" s="6">
        <f t="shared" si="39"/>
        <v>0</v>
      </c>
      <c r="AX49" s="6">
        <f t="shared" si="40"/>
        <v>20</v>
      </c>
      <c r="AY49" s="6">
        <f t="shared" si="41"/>
        <v>0</v>
      </c>
      <c r="AZ49" s="6">
        <f t="shared" si="42"/>
        <v>0</v>
      </c>
      <c r="BA49" s="6">
        <f t="shared" si="43"/>
        <v>0</v>
      </c>
      <c r="BB49" s="6">
        <f t="shared" si="44"/>
        <v>-116.72931500000001</v>
      </c>
      <c r="BD49" s="3">
        <f t="shared" si="45"/>
        <v>1046.8106849999999</v>
      </c>
      <c r="BE49" s="3">
        <v>0</v>
      </c>
    </row>
    <row r="50" spans="1:57" x14ac:dyDescent="0.25">
      <c r="A50" s="7">
        <v>44531</v>
      </c>
      <c r="B50" s="9">
        <f>IF(Resumen!$B$14="Código",IF(A50&lt;DATE(2021,7,1),Resumen!$B$7,Resumen!$B$7+300),IF(A50&lt;DATE(2022,3,1),Resumen!$B$7,Resumen!$B$7+300))</f>
        <v>1212</v>
      </c>
      <c r="C50" s="76">
        <f>Detalle!C50</f>
        <v>6</v>
      </c>
      <c r="D50" s="76">
        <f>Detalle!D50</f>
        <v>16</v>
      </c>
      <c r="E50" s="4">
        <f t="shared" si="18"/>
        <v>45.45</v>
      </c>
      <c r="F50" s="4">
        <f t="shared" si="19"/>
        <v>161.6</v>
      </c>
      <c r="G50" s="4">
        <f>IF(Resumen!$B$14="Código",IF(A50&lt;DATE(2021,7,1),(Resumen!$B$7*0.25%)*DATEDIF("1/1/2009",A50,"y"),IF(Resumen!$B$9="Sí",(((B50*0.03)+(VLOOKUP(YEAR(A50),Resumen!$O$7:$P$12,2,0)*0.05))*DATEDIF(MAX("1/5/2008",Resumen!$B$6),A50,"y")),(((B50*0.03)+(VLOOKUP(YEAR(A50),Resumen!$O$7:$P$12,2,0)*0.05))*DATEDIF(Resumen!$B$6,A50,"y")))),IF(A50&lt;DATE(2022,3,1),(Resumen!$B$7*0.25%)*DATEDIF("1/1/2009",A50,"y"),IF(Resumen!$B$9="Sí",(((B50*0.03)+(VLOOKUP(YEAR(A50),Resumen!$O$7:$P$12,2,0)*0.05))*DATEDIF(MAX("1/5/2008",Resumen!$B$6),A50,"y")),(((B50*0.03)+(VLOOKUP(YEAR(A50),Resumen!$O$7:$P$12,2,0)*0.05))*DATEDIF(Resumen!$B$6,A50,"y")))))</f>
        <v>36.36</v>
      </c>
      <c r="H50" s="4">
        <f t="shared" si="20"/>
        <v>121.28</v>
      </c>
      <c r="I50" s="4">
        <f t="shared" si="21"/>
        <v>121.24</v>
      </c>
      <c r="J50" s="1">
        <f>IF(Resumen!$B$14="Código",IF(A50&lt;DATE(2021,7,1),0,(0.03*(VLOOKUP(YEAR(A50),Resumen!$O$7:$P$12,2,0))*Resumen!$B$8)),IF(A50&lt;DATE(2022,3,1),0,(0.03*(VLOOKUP(YEAR(A50),Resumen!$O$7:$P$12,2,0))*Resumen!$B$8)))</f>
        <v>0</v>
      </c>
      <c r="K50" s="1">
        <f>IF(Resumen!$B$14="Código",IF(A50&lt;DATE(2021,7,1),0,50),IF(A50&lt;DATE(2022,3,1),0,50))</f>
        <v>0</v>
      </c>
      <c r="L50" s="4">
        <f>VLOOKUP(YEAR(A50),Resumen!$O$7:$P$11,2,0)</f>
        <v>400</v>
      </c>
      <c r="M50" s="4">
        <v>100</v>
      </c>
      <c r="N50" s="1">
        <v>0</v>
      </c>
      <c r="O50" s="1">
        <v>0</v>
      </c>
      <c r="P50" s="1">
        <f>IF(Resumen!$B$14="Código",(B50+E50+F50+G50)*9.45%*-1,(B50+E50+F50+G50)*11.45%*-1)</f>
        <v>-166.64444499999996</v>
      </c>
      <c r="Q50" s="3"/>
      <c r="R50" s="9">
        <f t="shared" si="27"/>
        <v>1512</v>
      </c>
      <c r="S50" s="4">
        <f t="shared" si="22"/>
        <v>56.7</v>
      </c>
      <c r="T50" s="4">
        <f t="shared" si="23"/>
        <v>201.6</v>
      </c>
      <c r="U50" s="4">
        <f t="shared" si="24"/>
        <v>147.53</v>
      </c>
      <c r="V50" s="4">
        <f t="shared" si="25"/>
        <v>147.47</v>
      </c>
      <c r="W50" s="4">
        <f>(0.03*(VLOOKUP(YEAR(A50),Resumen!$O$7:$P$12,2,0))*Resumen!$B$8)</f>
        <v>24</v>
      </c>
      <c r="X50" s="4">
        <f>IF(Resumen!$B$9="Sí",(((R50*0.03)+(VLOOKUP(YEAR(A50),Resumen!$O$7:$P$12,2,0)*0.05))*DATEDIF(MAX("1/5/2008",Resumen!$B$6),A50,"y")),(((R50*0.03)+(VLOOKUP(YEAR(A50),Resumen!$O$7:$P$12,2,0)*0.05))*DATEDIF(Resumen!$B$6,A50,"y")))</f>
        <v>718.96</v>
      </c>
      <c r="Y50" s="3">
        <v>50</v>
      </c>
      <c r="Z50" s="1">
        <f>IF(Resumen!$B$9="Sí",IF(DATEDIF("1/5/2008",A50,"M")/12=5,R50/2,IF(DATEDIF("1/5/2008",A50,"M")/12=10,R50,IF(DATEDIF("1/5/2008",A50,"M")/12=15,R50*1.5,IF(DATEDIF("1/5/2008",A50,"M")/12=20,R50*2,0)))),IF(DATEDIF(Resumen!$B$6,A50,"M")/12=5,R50/2,IF(DATEDIF(Resumen!$B$6,A50,"M")/12=10,R50,IF(DATEDIF(Resumen!$B$6,A50,"M")/12=15,R50*1.5,IF(DATEDIF(Resumen!$B$6,A50,"M")/12=20,R50*2,IF(DATEDIF(Resumen!$B$6,A50,"M")/12=25,R50*2.5,IF(DATEDIF(Resumen!$B$6,A50,"M")/12=30,R50*3)))))))</f>
        <v>0</v>
      </c>
      <c r="AA50" s="19">
        <f>(IF(Resumen!$B$20="Sí",IF(Resumen!$C$20&lt;=A50,IF(DATEDIF(Resumen!$C$20,A50,"Y")&lt;8,VLOOKUP(YEAR(A50),Resumen!$O$7:$P$12,2,0),0),0),0))+(IF(Resumen!$B$21="Sí",IF(Resumen!$C$21&lt;=A50,IF(DATEDIF(Resumen!$C$21,A50,"Y")&lt;8,VLOOKUP(YEAR(A50),Resumen!$O$7:$P$12,2,0),0),0),0))</f>
        <v>0</v>
      </c>
      <c r="AB50" s="1">
        <f>IF(MONTH(A50)=12,VLOOKUP(YEAR(A50),Resumen!$O$7:$P$12,2,0),0)</f>
        <v>400</v>
      </c>
      <c r="AC50" s="1">
        <f t="shared" si="28"/>
        <v>100</v>
      </c>
      <c r="AD50" s="19">
        <f>(IF(Resumen!$B$25="Sí",IF(DATE(YEAR(Resumen!$C$25),MONTH(Resumen!$C$25),1)=A50,1000,0)+(IF(Resumen!$B$26="Sí",IF(DATE(YEAR(Resumen!$C$26),MONTH(Resumen!$C$26),1)=A50,1000,0),0)),0))</f>
        <v>0</v>
      </c>
      <c r="AE50" s="1">
        <v>0</v>
      </c>
      <c r="AF50" s="1">
        <v>0</v>
      </c>
      <c r="AG50" s="19">
        <v>130</v>
      </c>
      <c r="AH50" s="1">
        <v>0</v>
      </c>
      <c r="AI50" s="19">
        <f>IF(MONTH(A50)=12,IF(Resumen!$B$9="Sí",(15+DATEDIF("1/5/2008",A50,"y")-5)*50,(15+DATEDIF(Resumen!$B$6,A50,"y")-5)*50),0)</f>
        <v>1150</v>
      </c>
      <c r="AJ50" s="5">
        <f>IF(Resumen!$B$13="No",IF(Resumen!$B$12="No",20,100),0)</f>
        <v>20</v>
      </c>
      <c r="AK50" s="1">
        <f>IF(Resumen!$B$14="Código",(R50+S50+T50+X50)*9.45%*-1,(R50+S50+T50+X50)*11.45%*-1)</f>
        <v>-285.02026999999998</v>
      </c>
      <c r="AM50" s="3">
        <f t="shared" si="29"/>
        <v>300</v>
      </c>
      <c r="AN50" s="4">
        <f t="shared" si="30"/>
        <v>11.25</v>
      </c>
      <c r="AO50" s="4">
        <f t="shared" si="31"/>
        <v>40</v>
      </c>
      <c r="AP50" s="4">
        <f t="shared" si="32"/>
        <v>26.25</v>
      </c>
      <c r="AQ50" s="4">
        <f t="shared" si="33"/>
        <v>26.230000000000004</v>
      </c>
      <c r="AR50" s="4">
        <f t="shared" si="34"/>
        <v>682.6</v>
      </c>
      <c r="AS50" s="4">
        <f t="shared" si="35"/>
        <v>24</v>
      </c>
      <c r="AT50" s="4">
        <f t="shared" si="36"/>
        <v>50</v>
      </c>
      <c r="AU50" s="6">
        <f t="shared" si="37"/>
        <v>0</v>
      </c>
      <c r="AV50" s="6">
        <f t="shared" si="38"/>
        <v>0</v>
      </c>
      <c r="AW50" s="6">
        <f t="shared" si="39"/>
        <v>0</v>
      </c>
      <c r="AX50" s="6">
        <f t="shared" si="40"/>
        <v>20</v>
      </c>
      <c r="AY50" s="6">
        <f t="shared" si="41"/>
        <v>0</v>
      </c>
      <c r="AZ50" s="6">
        <f t="shared" si="42"/>
        <v>0</v>
      </c>
      <c r="BA50" s="6">
        <f t="shared" si="43"/>
        <v>1150</v>
      </c>
      <c r="BB50" s="6">
        <f t="shared" si="44"/>
        <v>-118.37582500000002</v>
      </c>
      <c r="BD50" s="3">
        <f t="shared" si="45"/>
        <v>2211.9541749999999</v>
      </c>
      <c r="BE50" s="3">
        <v>0</v>
      </c>
    </row>
    <row r="51" spans="1:57" x14ac:dyDescent="0.25">
      <c r="A51" s="7">
        <v>44562</v>
      </c>
      <c r="B51" s="9">
        <f>IF(Resumen!$B$14="Código",IF(A51&lt;DATE(2021,7,1),Resumen!$B$7,Resumen!$B$7+300),IF(A51&lt;DATE(2022,3,1),Resumen!$B$7,Resumen!$B$7+300))</f>
        <v>1212</v>
      </c>
      <c r="C51" s="76">
        <f>Detalle!C51</f>
        <v>8.1199999999999992</v>
      </c>
      <c r="D51" s="76">
        <f>Detalle!D51</f>
        <v>15.72</v>
      </c>
      <c r="E51" s="4">
        <f t="shared" si="18"/>
        <v>61.51</v>
      </c>
      <c r="F51" s="4">
        <f t="shared" si="19"/>
        <v>158.77000000000001</v>
      </c>
      <c r="G51" s="4">
        <f>IF(Resumen!$B$14="Código",IF(A51&lt;DATE(2021,7,1),(Resumen!$B$7*0.25%)*DATEDIF("1/1/2009",A51,"y"),IF(Resumen!$B$9="Sí",(((B51*0.03)+(VLOOKUP(YEAR(A51),Resumen!$O$7:$P$12,2,0)*0.05))*DATEDIF(MAX("1/5/2008",Resumen!$B$6),A51,"y")),(((B51*0.03)+(VLOOKUP(YEAR(A51),Resumen!$O$7:$P$12,2,0)*0.05))*DATEDIF(Resumen!$B$6,A51,"y")))),IF(A51&lt;DATE(2022,3,1),(Resumen!$B$7*0.25%)*DATEDIF("1/1/2009",A51,"y"),IF(Resumen!$B$9="Sí",(((B51*0.03)+(VLOOKUP(YEAR(A51),Resumen!$O$7:$P$12,2,0)*0.05))*DATEDIF(MAX("1/5/2008",Resumen!$B$6),A51,"y")),(((B51*0.03)+(VLOOKUP(YEAR(A51),Resumen!$O$7:$P$12,2,0)*0.05))*DATEDIF(Resumen!$B$6,A51,"y")))))</f>
        <v>39.39</v>
      </c>
      <c r="H51" s="4">
        <f t="shared" si="20"/>
        <v>122.64</v>
      </c>
      <c r="I51" s="4">
        <f t="shared" si="21"/>
        <v>122.59</v>
      </c>
      <c r="J51" s="1">
        <f>IF(Resumen!$B$14="Código",IF(A51&lt;DATE(2021,7,1),0,(0.03*(VLOOKUP(YEAR(A51),Resumen!$O$7:$P$12,2,0))*Resumen!$B$8)),IF(A51&lt;DATE(2022,3,1),0,(0.03*(VLOOKUP(YEAR(A51),Resumen!$O$7:$P$12,2,0))*Resumen!$B$8)))</f>
        <v>0</v>
      </c>
      <c r="K51" s="1">
        <f>IF(Resumen!$B$14="Código",IF(A51&lt;DATE(2021,7,1),0,50),IF(A51&lt;DATE(2022,3,1),0,50))</f>
        <v>0</v>
      </c>
      <c r="L51" s="1">
        <v>0</v>
      </c>
      <c r="M51" s="1">
        <v>0</v>
      </c>
      <c r="N51" s="1">
        <v>0</v>
      </c>
      <c r="O51" s="1">
        <v>0</v>
      </c>
      <c r="P51" s="1">
        <f>IF(Resumen!$B$14="Código",(B51+E51+F51+G51)*9.45%*-1,(B51+E51+F51+G51)*11.45%*-1)</f>
        <v>-168.506215</v>
      </c>
      <c r="Q51" s="3"/>
      <c r="R51" s="9">
        <f t="shared" si="27"/>
        <v>1512</v>
      </c>
      <c r="S51" s="4">
        <f t="shared" si="22"/>
        <v>76.73</v>
      </c>
      <c r="T51" s="4">
        <f t="shared" si="23"/>
        <v>198.07</v>
      </c>
      <c r="U51" s="4">
        <f t="shared" si="24"/>
        <v>148.9</v>
      </c>
      <c r="V51" s="4">
        <f t="shared" si="25"/>
        <v>148.84</v>
      </c>
      <c r="W51" s="4">
        <f>(0.03*(VLOOKUP(YEAR(A51),Resumen!$O$7:$P$12,2,0))*Resumen!$B$8)</f>
        <v>25.5</v>
      </c>
      <c r="X51" s="4">
        <f>IF(Resumen!$B$9="Sí",(((R51*0.03)+(VLOOKUP(YEAR(A51),Resumen!$O$7:$P$12,2,0)*0.05))*DATEDIF(MAX("1/5/2008",Resumen!$B$6),A51,"y")),(((R51*0.03)+(VLOOKUP(YEAR(A51),Resumen!$O$7:$P$12,2,0)*0.05))*DATEDIF(Resumen!$B$6,A51,"y")))</f>
        <v>732.71</v>
      </c>
      <c r="Y51" s="3">
        <v>50</v>
      </c>
      <c r="Z51" s="1">
        <f>IF(Resumen!$B$9="Sí",IF(DATEDIF("1/5/2008",A51,"M")/12=5,R51/2,IF(DATEDIF("1/5/2008",A51,"M")/12=10,R51,IF(DATEDIF("1/5/2008",A51,"M")/12=15,R51*1.5,IF(DATEDIF("1/5/2008",A51,"M")/12=20,R51*2,0)))),IF(DATEDIF(Resumen!$B$6,A51,"M")/12=5,R51/2,IF(DATEDIF(Resumen!$B$6,A51,"M")/12=10,R51,IF(DATEDIF(Resumen!$B$6,A51,"M")/12=15,R51*1.5,IF(DATEDIF(Resumen!$B$6,A51,"M")/12=20,R51*2,IF(DATEDIF(Resumen!$B$6,A51,"M")/12=25,R51*2.5,IF(DATEDIF(Resumen!$B$6,A51,"M")/12=30,R51*3)))))))</f>
        <v>0</v>
      </c>
      <c r="AA51" s="19">
        <f>(IF(Resumen!$B$20="Sí",IF(Resumen!$C$20&lt;=A51,IF(DATEDIF(Resumen!$C$20,A51,"Y")&lt;8,VLOOKUP(YEAR(A51),Resumen!$O$7:$P$12,2,0),0),0),0))+(IF(Resumen!$B$21="Sí",IF(Resumen!$C$21&lt;=A51,IF(DATEDIF(Resumen!$C$21,A51,"Y")&lt;8,VLOOKUP(YEAR(A51),Resumen!$O$7:$P$12,2,0),0),0),0))</f>
        <v>0</v>
      </c>
      <c r="AB51" s="1">
        <f>IF(MONTH(A51)=12,VLOOKUP(YEAR(A51),Resumen!$O$7:$P$12,2,0),0)</f>
        <v>0</v>
      </c>
      <c r="AC51" s="1">
        <f t="shared" si="28"/>
        <v>0</v>
      </c>
      <c r="AD51" s="19">
        <f>(IF(Resumen!$B$25="Sí",IF(DATE(YEAR(Resumen!$C$25),MONTH(Resumen!$C$25),1)=A51,1000,0)+(IF(Resumen!$B$26="Sí",IF(DATE(YEAR(Resumen!$C$26),MONTH(Resumen!$C$26),1)=A51,1000,0),0)),0))</f>
        <v>0</v>
      </c>
      <c r="AE51" s="1">
        <v>0</v>
      </c>
      <c r="AF51" s="1">
        <v>0</v>
      </c>
      <c r="AG51" s="19">
        <v>130</v>
      </c>
      <c r="AH51" s="1">
        <v>0</v>
      </c>
      <c r="AI51" s="19">
        <f>IF(MONTH(A51)=12,IF(Resumen!$B$9="Sí",(15+DATEDIF("1/5/2008",A51,"y")-5)*50,(15+DATEDIF(Resumen!$B$6,A51,"y")-5)*50),0)</f>
        <v>0</v>
      </c>
      <c r="AJ51" s="5">
        <f>IF(Resumen!$B$13="No",IF(Resumen!$B$12="No",20,100),0)</f>
        <v>20</v>
      </c>
      <c r="AK51" s="1">
        <f>IF(Resumen!$B$14="Código",(R51+S51+T51+X51)*9.45%*-1,(R51+S51+T51+X51)*11.45%*-1)</f>
        <v>-288.48389500000002</v>
      </c>
      <c r="AM51" s="3">
        <f t="shared" si="29"/>
        <v>300</v>
      </c>
      <c r="AN51" s="4">
        <f t="shared" si="30"/>
        <v>15.220000000000006</v>
      </c>
      <c r="AO51" s="4">
        <f t="shared" si="31"/>
        <v>39.299999999999983</v>
      </c>
      <c r="AP51" s="4">
        <f t="shared" si="32"/>
        <v>26.260000000000005</v>
      </c>
      <c r="AQ51" s="4">
        <f t="shared" si="33"/>
        <v>26.25</v>
      </c>
      <c r="AR51" s="4">
        <f t="shared" si="34"/>
        <v>693.32</v>
      </c>
      <c r="AS51" s="4">
        <f t="shared" si="35"/>
        <v>25.5</v>
      </c>
      <c r="AT51" s="4">
        <f t="shared" si="36"/>
        <v>50</v>
      </c>
      <c r="AU51" s="6">
        <f t="shared" si="37"/>
        <v>0</v>
      </c>
      <c r="AV51" s="6">
        <f t="shared" si="38"/>
        <v>0</v>
      </c>
      <c r="AW51" s="6">
        <f t="shared" si="39"/>
        <v>0</v>
      </c>
      <c r="AX51" s="6">
        <f t="shared" si="40"/>
        <v>20</v>
      </c>
      <c r="AY51" s="6">
        <f t="shared" si="41"/>
        <v>0</v>
      </c>
      <c r="AZ51" s="6">
        <f t="shared" si="42"/>
        <v>0</v>
      </c>
      <c r="BA51" s="6">
        <f t="shared" si="43"/>
        <v>0</v>
      </c>
      <c r="BB51" s="6">
        <f t="shared" si="44"/>
        <v>-119.97768000000002</v>
      </c>
      <c r="BD51" s="3">
        <f t="shared" si="45"/>
        <v>1075.8723199999999</v>
      </c>
      <c r="BE51" s="3">
        <v>0</v>
      </c>
    </row>
    <row r="52" spans="1:57" x14ac:dyDescent="0.25">
      <c r="A52" s="7">
        <v>44593</v>
      </c>
      <c r="B52" s="9">
        <f>IF(Resumen!$B$14="Código",IF(A52&lt;DATE(2021,7,1),Resumen!$B$7,Resumen!$B$7+300),IF(A52&lt;DATE(2022,3,1),Resumen!$B$7,Resumen!$B$7+300))</f>
        <v>1212</v>
      </c>
      <c r="C52" s="76">
        <f>Detalle!C52</f>
        <v>9</v>
      </c>
      <c r="D52" s="76">
        <f>Detalle!D52</f>
        <v>8</v>
      </c>
      <c r="E52" s="4">
        <f t="shared" si="18"/>
        <v>68.180000000000007</v>
      </c>
      <c r="F52" s="4">
        <f t="shared" si="19"/>
        <v>80.8</v>
      </c>
      <c r="G52" s="4">
        <f>IF(Resumen!$B$14="Código",IF(A52&lt;DATE(2021,7,1),(Resumen!$B$7*0.25%)*DATEDIF("1/1/2009",A52,"y"),IF(Resumen!$B$9="Sí",(((B52*0.03)+(VLOOKUP(YEAR(A52),Resumen!$O$7:$P$12,2,0)*0.05))*DATEDIF(MAX("1/5/2008",Resumen!$B$6),A52,"y")),(((B52*0.03)+(VLOOKUP(YEAR(A52),Resumen!$O$7:$P$12,2,0)*0.05))*DATEDIF(Resumen!$B$6,A52,"y")))),IF(A52&lt;DATE(2022,3,1),(Resumen!$B$7*0.25%)*DATEDIF("1/1/2009",A52,"y"),IF(Resumen!$B$9="Sí",(((B52*0.03)+(VLOOKUP(YEAR(A52),Resumen!$O$7:$P$12,2,0)*0.05))*DATEDIF(MAX("1/5/2008",Resumen!$B$6),A52,"y")),(((B52*0.03)+(VLOOKUP(YEAR(A52),Resumen!$O$7:$P$12,2,0)*0.05))*DATEDIF(Resumen!$B$6,A52,"y")))))</f>
        <v>39.39</v>
      </c>
      <c r="H52" s="4">
        <f t="shared" si="20"/>
        <v>116.7</v>
      </c>
      <c r="I52" s="4">
        <f t="shared" si="21"/>
        <v>116.65</v>
      </c>
      <c r="J52" s="1">
        <f>IF(Resumen!$B$14="Código",IF(A52&lt;DATE(2021,7,1),0,(0.03*(VLOOKUP(YEAR(A52),Resumen!$O$7:$P$12,2,0))*Resumen!$B$8)),IF(A52&lt;DATE(2022,3,1),0,(0.03*(VLOOKUP(YEAR(A52),Resumen!$O$7:$P$12,2,0))*Resumen!$B$8)))</f>
        <v>0</v>
      </c>
      <c r="K52" s="1">
        <f>IF(Resumen!$B$14="Código",IF(A52&lt;DATE(2021,7,1),0,50),IF(A52&lt;DATE(2022,3,1),0,50))</f>
        <v>0</v>
      </c>
      <c r="L52" s="1">
        <v>0</v>
      </c>
      <c r="M52" s="1">
        <v>0</v>
      </c>
      <c r="N52" s="1">
        <v>0</v>
      </c>
      <c r="O52" s="1">
        <v>0</v>
      </c>
      <c r="P52" s="1">
        <f>IF(Resumen!$B$14="Código",(B52+E52+F52+G52)*9.45%*-1,(B52+E52+F52+G52)*11.45%*-1)</f>
        <v>-160.342365</v>
      </c>
      <c r="Q52" s="3"/>
      <c r="R52" s="9">
        <f t="shared" si="27"/>
        <v>1512</v>
      </c>
      <c r="S52" s="4">
        <f t="shared" si="22"/>
        <v>85.05</v>
      </c>
      <c r="T52" s="4">
        <f t="shared" si="23"/>
        <v>100.8</v>
      </c>
      <c r="U52" s="4">
        <f t="shared" si="24"/>
        <v>141.49</v>
      </c>
      <c r="V52" s="4">
        <f t="shared" si="25"/>
        <v>141.43</v>
      </c>
      <c r="W52" s="4">
        <f>(0.03*(VLOOKUP(YEAR(A52),Resumen!$O$7:$P$12,2,0))*Resumen!$B$8)</f>
        <v>25.5</v>
      </c>
      <c r="X52" s="4">
        <f>IF(Resumen!$B$9="Sí",(((R52*0.03)+(VLOOKUP(YEAR(A52),Resumen!$O$7:$P$12,2,0)*0.05))*DATEDIF(MAX("1/5/2008",Resumen!$B$6),A52,"y")),(((R52*0.03)+(VLOOKUP(YEAR(A52),Resumen!$O$7:$P$12,2,0)*0.05))*DATEDIF(Resumen!$B$6,A52,"y")))</f>
        <v>799.31999999999994</v>
      </c>
      <c r="Y52" s="3">
        <v>50</v>
      </c>
      <c r="Z52" s="1">
        <f>IF(Resumen!$B$9="Sí",IF(DATEDIF("1/5/2008",A52,"M")/12=5,R52/2,IF(DATEDIF("1/5/2008",A52,"M")/12=10,R52,IF(DATEDIF("1/5/2008",A52,"M")/12=15,R52*1.5,IF(DATEDIF("1/5/2008",A52,"M")/12=20,R52*2,0)))),IF(DATEDIF(Resumen!$B$6,A52,"M")/12=5,R52/2,IF(DATEDIF(Resumen!$B$6,A52,"M")/12=10,R52,IF(DATEDIF(Resumen!$B$6,A52,"M")/12=15,R52*1.5,IF(DATEDIF(Resumen!$B$6,A52,"M")/12=20,R52*2,IF(DATEDIF(Resumen!$B$6,A52,"M")/12=25,R52*2.5,IF(DATEDIF(Resumen!$B$6,A52,"M")/12=30,R52*3)))))))</f>
        <v>0</v>
      </c>
      <c r="AA52" s="19">
        <f>(IF(Resumen!$B$20="Sí",IF(Resumen!$C$20&lt;=A52,IF(DATEDIF(Resumen!$C$20,A52,"Y")&lt;8,VLOOKUP(YEAR(A52),Resumen!$O$7:$P$12,2,0),0),0),0))+(IF(Resumen!$B$21="Sí",IF(Resumen!$C$21&lt;=A52,IF(DATEDIF(Resumen!$C$21,A52,"Y")&lt;8,VLOOKUP(YEAR(A52),Resumen!$O$7:$P$12,2,0),0),0),0))</f>
        <v>0</v>
      </c>
      <c r="AB52" s="1">
        <f>IF(MONTH(A52)=12,VLOOKUP(YEAR(A52),Resumen!$O$7:$P$12,2,0),0)</f>
        <v>0</v>
      </c>
      <c r="AC52" s="1">
        <f t="shared" si="28"/>
        <v>0</v>
      </c>
      <c r="AD52" s="19">
        <f>(IF(Resumen!$B$25="Sí",IF(DATE(YEAR(Resumen!$C$25),MONTH(Resumen!$C$25),1)=A52,1000,0)+(IF(Resumen!$B$26="Sí",IF(DATE(YEAR(Resumen!$C$26),MONTH(Resumen!$C$26),1)=A52,1000,0),0)),0))</f>
        <v>0</v>
      </c>
      <c r="AE52" s="1">
        <v>0</v>
      </c>
      <c r="AF52" s="1">
        <v>0</v>
      </c>
      <c r="AG52" s="19">
        <v>130</v>
      </c>
      <c r="AH52" s="1">
        <v>0</v>
      </c>
      <c r="AI52" s="19">
        <f>IF(MONTH(A52)=12,IF(Resumen!$B$9="Sí",(15+DATEDIF("1/5/2008",A52,"y")-5)*50,(15+DATEDIF(Resumen!$B$6,A52,"y")-5)*50),0)</f>
        <v>0</v>
      </c>
      <c r="AJ52" s="5">
        <f>IF(Resumen!$B$13="No",IF(Resumen!$B$12="No",20,100),0)</f>
        <v>20</v>
      </c>
      <c r="AK52" s="1">
        <f>IF(Resumen!$B$14="Código",(R52+S52+T52+X52)*9.45%*-1,(R52+S52+T52+X52)*11.45%*-1)</f>
        <v>-285.92596499999996</v>
      </c>
      <c r="AM52" s="3">
        <f t="shared" si="29"/>
        <v>300</v>
      </c>
      <c r="AN52" s="4">
        <f t="shared" si="30"/>
        <v>16.86999999999999</v>
      </c>
      <c r="AO52" s="4">
        <f t="shared" si="31"/>
        <v>20</v>
      </c>
      <c r="AP52" s="4">
        <f t="shared" si="32"/>
        <v>24.790000000000006</v>
      </c>
      <c r="AQ52" s="4">
        <f t="shared" si="33"/>
        <v>24.78</v>
      </c>
      <c r="AR52" s="4">
        <f t="shared" si="34"/>
        <v>759.93</v>
      </c>
      <c r="AS52" s="4">
        <f t="shared" si="35"/>
        <v>25.5</v>
      </c>
      <c r="AT52" s="4">
        <f t="shared" si="36"/>
        <v>50</v>
      </c>
      <c r="AU52" s="6">
        <f t="shared" si="37"/>
        <v>0</v>
      </c>
      <c r="AV52" s="6">
        <f t="shared" si="38"/>
        <v>0</v>
      </c>
      <c r="AW52" s="6">
        <f t="shared" si="39"/>
        <v>0</v>
      </c>
      <c r="AX52" s="6">
        <f t="shared" si="40"/>
        <v>20</v>
      </c>
      <c r="AY52" s="6">
        <f t="shared" si="41"/>
        <v>0</v>
      </c>
      <c r="AZ52" s="6">
        <f t="shared" si="42"/>
        <v>0</v>
      </c>
      <c r="BA52" s="6">
        <f t="shared" si="43"/>
        <v>0</v>
      </c>
      <c r="BB52" s="6">
        <f t="shared" si="44"/>
        <v>-125.58359999999996</v>
      </c>
      <c r="BD52" s="3">
        <f t="shared" si="45"/>
        <v>1116.2864</v>
      </c>
      <c r="BE52" s="3">
        <v>0</v>
      </c>
    </row>
    <row r="53" spans="1:57" x14ac:dyDescent="0.25">
      <c r="A53" s="7">
        <v>44621</v>
      </c>
      <c r="B53" s="9">
        <f>IF(Resumen!$B$14="Código",IF(A53&lt;DATE(2021,7,1),Resumen!$B$7,Resumen!$B$7+300),IF(A53&lt;DATE(2022,3,1),Resumen!$B$7,Resumen!$B$7+300))</f>
        <v>1512</v>
      </c>
      <c r="C53" s="76">
        <f>Detalle!C53</f>
        <v>0</v>
      </c>
      <c r="D53" s="76">
        <f>Detalle!D53</f>
        <v>0</v>
      </c>
      <c r="E53" s="4">
        <f t="shared" si="18"/>
        <v>0</v>
      </c>
      <c r="F53" s="4">
        <f t="shared" si="19"/>
        <v>0</v>
      </c>
      <c r="G53" s="4">
        <f>IF(Resumen!$B$14="Código",IF(A53&lt;DATE(2021,7,1),(Resumen!$B$7*0.25%)*DATEDIF("1/1/2009",A53,"y"),IF(Resumen!$B$9="Sí",(((B53*0.03)+(VLOOKUP(YEAR(A53),Resumen!$O$7:$P$12,2,0)*0.05))*DATEDIF(MAX("1/5/2008",Resumen!$B$6),A53,"y")),(((B53*0.03)+(VLOOKUP(YEAR(A53),Resumen!$O$7:$P$12,2,0)*0.05))*DATEDIF(Resumen!$B$6,A53,"y")))),IF(A53&lt;DATE(2022,3,1),(Resumen!$B$7*0.25%)*DATEDIF("1/1/2009",A53,"y"),IF(Resumen!$B$9="Sí",(((B53*0.03)+(VLOOKUP(YEAR(A53),Resumen!$O$7:$P$12,2,0)*0.05))*DATEDIF(MAX("1/5/2008",Resumen!$B$6),A53,"y")),(((B53*0.03)+(VLOOKUP(YEAR(A53),Resumen!$O$7:$P$12,2,0)*0.05))*DATEDIF(Resumen!$B$6,A53,"y")))))</f>
        <v>799.31999999999994</v>
      </c>
      <c r="H53" s="4">
        <f>ROUND((B53+E53+F53)/12,2)</f>
        <v>126</v>
      </c>
      <c r="I53" s="4">
        <f>ROUND((B53+E53+F53)*8.33%,2)</f>
        <v>125.95</v>
      </c>
      <c r="J53" s="1">
        <f>IF(Resumen!$B$14="Código",IF(A53&lt;DATE(2021,7,1),0,(0.03*(VLOOKUP(YEAR(A53),Resumen!$O$7:$P$12,2,0))*Resumen!$B$8)),IF(A53&lt;DATE(2022,3,1),0,(0.03*(VLOOKUP(YEAR(A53),Resumen!$O$7:$P$12,2,0))*Resumen!$B$8)))</f>
        <v>25.5</v>
      </c>
      <c r="K53" s="1">
        <f>IF(Resumen!$B$14="Código",IF(A53&lt;DATE(2021,7,1),0,50),IF(A53&lt;DATE(2022,3,1),0,50))</f>
        <v>50</v>
      </c>
      <c r="L53" s="1">
        <v>0</v>
      </c>
      <c r="M53" s="1">
        <v>0</v>
      </c>
      <c r="N53" s="1">
        <v>0</v>
      </c>
      <c r="O53" s="1">
        <v>0</v>
      </c>
      <c r="P53" s="1">
        <f>IF(Resumen!$B$14="Código",(B53+E53+F53)*9.45%*-1,(B53+E53+F53)*11.45%*-1)</f>
        <v>-173.124</v>
      </c>
      <c r="Q53" s="3"/>
      <c r="R53" s="9">
        <f t="shared" si="27"/>
        <v>1512</v>
      </c>
      <c r="S53" s="4">
        <f t="shared" si="22"/>
        <v>0</v>
      </c>
      <c r="T53" s="4">
        <f t="shared" si="23"/>
        <v>0</v>
      </c>
      <c r="U53" s="4">
        <f t="shared" si="24"/>
        <v>126</v>
      </c>
      <c r="V53" s="4">
        <f t="shared" si="25"/>
        <v>125.95</v>
      </c>
      <c r="W53" s="4">
        <f>(0.03*(VLOOKUP(YEAR(A53),Resumen!$O$7:$P$12,2,0))*Resumen!$B$8)</f>
        <v>25.5</v>
      </c>
      <c r="X53" s="4">
        <f>IF(Resumen!$B$9="Sí",(((R53*0.03)+(VLOOKUP(YEAR(A53),Resumen!$O$7:$P$12,2,0)*0.05))*DATEDIF(MAX("1/5/2008",Resumen!$B$6),A53,"y")),(((R53*0.03)+(VLOOKUP(YEAR(A53),Resumen!$O$7:$P$12,2,0)*0.05))*DATEDIF(Resumen!$B$6,A53,"y")))</f>
        <v>799.31999999999994</v>
      </c>
      <c r="Y53" s="3">
        <v>50</v>
      </c>
      <c r="Z53" s="1">
        <f>IF(Resumen!$B$9="Sí",IF(DATEDIF("1/5/2008",A53,"M")/12=5,R53/2,IF(DATEDIF("1/5/2008",A53,"M")/12=10,R53,IF(DATEDIF("1/5/2008",A53,"M")/12=15,R53*1.5,IF(DATEDIF("1/5/2008",A53,"M")/12=20,R53*2,0)))),IF(DATEDIF(Resumen!$B$6,A53,"M")/12=5,R53/2,IF(DATEDIF(Resumen!$B$6,A53,"M")/12=10,R53,IF(DATEDIF(Resumen!$B$6,A53,"M")/12=15,R53*1.5,IF(DATEDIF(Resumen!$B$6,A53,"M")/12=20,R53*2,IF(DATEDIF(Resumen!$B$6,A53,"M")/12=25,R53*2.5,IF(DATEDIF(Resumen!$B$6,A53,"M")/12=30,R53*3)))))))</f>
        <v>0</v>
      </c>
      <c r="AA53" s="19">
        <f>(IF(Resumen!$B$20="Sí",IF(Resumen!$C$20&lt;=A53,IF(DATEDIF(Resumen!$C$20,A53,"Y")&lt;8,VLOOKUP(YEAR(A53),Resumen!$O$7:$P$12,2,0),0),0),0))+(IF(Resumen!$B$21="Sí",IF(Resumen!$C$21&lt;=A53,IF(DATEDIF(Resumen!$C$21,A53,"Y")&lt;8,VLOOKUP(YEAR(A53),Resumen!$O$7:$P$12,2,0),0),0),0))</f>
        <v>0</v>
      </c>
      <c r="AB53" s="1">
        <f>IF(MONTH(A53)=12,VLOOKUP(YEAR(A53),Resumen!$O$7:$P$12,2,0),0)</f>
        <v>0</v>
      </c>
      <c r="AC53" s="1">
        <f t="shared" si="28"/>
        <v>0</v>
      </c>
      <c r="AD53" s="19">
        <f>(IF(Resumen!$B$25="Sí",IF(DATE(YEAR(Resumen!$C$25),MONTH(Resumen!$C$25),1)=A53,1000,0)+(IF(Resumen!$B$26="Sí",IF(DATE(YEAR(Resumen!$C$26),MONTH(Resumen!$C$26),1)=A53,1000,0),0)),0))</f>
        <v>0</v>
      </c>
      <c r="AE53" s="1">
        <v>0</v>
      </c>
      <c r="AF53" s="1">
        <v>0</v>
      </c>
      <c r="AG53" s="19">
        <v>130</v>
      </c>
      <c r="AH53" s="1">
        <v>0</v>
      </c>
      <c r="AI53" s="19">
        <f>IF(MONTH(A53)=12,IF(Resumen!$B$9="Sí",(15+DATEDIF("1/5/2008",A53,"y")-5)*50,(15+DATEDIF(Resumen!$B$6,A53,"y")-5)*50),0)</f>
        <v>0</v>
      </c>
      <c r="AJ53" s="5">
        <f>IF(Resumen!$B$13="No",IF(Resumen!$B$12="No",20,100),0)</f>
        <v>20</v>
      </c>
      <c r="AK53" s="1">
        <f>IF(Resumen!$B$14="Código",(R53+S53+T53)*9.45%*-1,(R53+S53+T53)*11.45%*-1)</f>
        <v>-173.124</v>
      </c>
      <c r="AM53" s="3">
        <f t="shared" si="29"/>
        <v>0</v>
      </c>
      <c r="AN53" s="4">
        <f t="shared" si="30"/>
        <v>0</v>
      </c>
      <c r="AO53" s="4">
        <f t="shared" si="31"/>
        <v>0</v>
      </c>
      <c r="AP53" s="4">
        <f t="shared" si="32"/>
        <v>0</v>
      </c>
      <c r="AQ53" s="4">
        <f t="shared" si="33"/>
        <v>0</v>
      </c>
      <c r="AR53" s="4">
        <f t="shared" si="34"/>
        <v>0</v>
      </c>
      <c r="AS53" s="4">
        <f t="shared" si="35"/>
        <v>0</v>
      </c>
      <c r="AT53" s="4">
        <f t="shared" si="36"/>
        <v>0</v>
      </c>
      <c r="AU53" s="6">
        <f t="shared" si="37"/>
        <v>0</v>
      </c>
      <c r="AV53" s="6">
        <f t="shared" si="38"/>
        <v>0</v>
      </c>
      <c r="AW53" s="6">
        <f t="shared" si="39"/>
        <v>0</v>
      </c>
      <c r="AX53" s="6">
        <f t="shared" si="40"/>
        <v>20</v>
      </c>
      <c r="AY53" s="6">
        <f t="shared" si="41"/>
        <v>0</v>
      </c>
      <c r="AZ53" s="6">
        <f t="shared" si="42"/>
        <v>0</v>
      </c>
      <c r="BA53" s="6">
        <f t="shared" si="43"/>
        <v>0</v>
      </c>
      <c r="BB53" s="6">
        <f t="shared" si="44"/>
        <v>0</v>
      </c>
      <c r="BD53" s="3">
        <f t="shared" si="45"/>
        <v>20</v>
      </c>
      <c r="BE53" s="3">
        <v>0</v>
      </c>
    </row>
    <row r="54" spans="1:57" x14ac:dyDescent="0.25">
      <c r="A54" s="7">
        <v>44652</v>
      </c>
      <c r="B54" s="9">
        <f>IF(Resumen!$B$14="Código",IF(A54&lt;DATE(2021,7,1),Resumen!$B$7,Resumen!$B$7+300),IF(A54&lt;DATE(2022,3,1),Resumen!$B$7,Resumen!$B$7+300))</f>
        <v>1512</v>
      </c>
      <c r="C54" s="76">
        <f>Detalle!C54</f>
        <v>0</v>
      </c>
      <c r="D54" s="76">
        <f>Detalle!D54</f>
        <v>0</v>
      </c>
      <c r="E54" s="4">
        <f t="shared" si="18"/>
        <v>0</v>
      </c>
      <c r="F54" s="4">
        <f t="shared" si="19"/>
        <v>0</v>
      </c>
      <c r="G54" s="4">
        <f>IF(Resumen!$B$14="Código",IF(A54&lt;DATE(2021,7,1),(Resumen!$B$7*0.25%)*DATEDIF("1/1/2009",A54,"y"),IF(Resumen!$B$9="Sí",(((B54*0.03)+(VLOOKUP(YEAR(A54),Resumen!$O$7:$P$12,2,0)*0.05))*DATEDIF(MAX("1/5/2008",Resumen!$B$6),A54,"y")),(((B54*0.03)+(VLOOKUP(YEAR(A54),Resumen!$O$7:$P$12,2,0)*0.05))*DATEDIF(Resumen!$B$6,A54,"y")))),IF(A54&lt;DATE(2022,3,1),(Resumen!$B$7*0.25%)*DATEDIF("1/1/2009",A54,"y"),IF(Resumen!$B$9="Sí",(((B54*0.03)+(VLOOKUP(YEAR(A54),Resumen!$O$7:$P$12,2,0)*0.05))*DATEDIF(MAX("1/5/2008",Resumen!$B$6),A54,"y")),(((B54*0.03)+(VLOOKUP(YEAR(A54),Resumen!$O$7:$P$12,2,0)*0.05))*DATEDIF(Resumen!$B$6,A54,"y")))))</f>
        <v>799.31999999999994</v>
      </c>
      <c r="H54" s="4">
        <f t="shared" ref="H54:H65" si="46">ROUND((B54+E54+F54)/12,2)</f>
        <v>126</v>
      </c>
      <c r="I54" s="4">
        <f t="shared" ref="I54:I65" si="47">ROUND((B54+E54+F54)*8.33%,2)</f>
        <v>125.95</v>
      </c>
      <c r="J54" s="1">
        <f>IF(Resumen!$B$14="Código",IF(A54&lt;DATE(2021,7,1),0,(0.03*(VLOOKUP(YEAR(A54),Resumen!$O$7:$P$12,2,0))*Resumen!$B$8)),IF(A54&lt;DATE(2022,3,1),0,(0.03*(VLOOKUP(YEAR(A54),Resumen!$O$7:$P$12,2,0))*Resumen!$B$8)))</f>
        <v>25.5</v>
      </c>
      <c r="K54" s="1">
        <f>IF(Resumen!$B$14="Código",IF(A54&lt;DATE(2021,7,1),0,50),IF(A54&lt;DATE(2022,3,1),0,50))</f>
        <v>50</v>
      </c>
      <c r="L54" s="1">
        <v>0</v>
      </c>
      <c r="M54" s="1">
        <v>0</v>
      </c>
      <c r="N54" s="1">
        <v>0</v>
      </c>
      <c r="O54" s="1">
        <v>0</v>
      </c>
      <c r="P54" s="1">
        <f>IF(Resumen!$B$14="Código",(B54+E54+F54)*9.45%*-1,(B54+E54+F54)*11.45%*-1)</f>
        <v>-173.124</v>
      </c>
      <c r="Q54" s="3"/>
      <c r="R54" s="9">
        <f t="shared" si="27"/>
        <v>1512</v>
      </c>
      <c r="S54" s="4">
        <f t="shared" si="22"/>
        <v>0</v>
      </c>
      <c r="T54" s="4">
        <f t="shared" si="23"/>
        <v>0</v>
      </c>
      <c r="U54" s="4">
        <f t="shared" si="24"/>
        <v>126</v>
      </c>
      <c r="V54" s="4">
        <f t="shared" si="25"/>
        <v>125.95</v>
      </c>
      <c r="W54" s="4">
        <f>(0.03*(VLOOKUP(YEAR(A54),Resumen!$O$7:$P$12,2,0))*Resumen!$B$8)</f>
        <v>25.5</v>
      </c>
      <c r="X54" s="4">
        <f>IF(Resumen!$B$9="Sí",(((R54*0.03)+(VLOOKUP(YEAR(A54),Resumen!$O$7:$P$12,2,0)*0.05))*DATEDIF(MAX("1/5/2008",Resumen!$B$6),A54,"y")),(((R54*0.03)+(VLOOKUP(YEAR(A54),Resumen!$O$7:$P$12,2,0)*0.05))*DATEDIF(Resumen!$B$6,A54,"y")))</f>
        <v>799.31999999999994</v>
      </c>
      <c r="Y54" s="3">
        <v>50</v>
      </c>
      <c r="Z54" s="1">
        <f>IF(Resumen!$B$9="Sí",IF(DATEDIF("1/5/2008",A54,"M")/12=5,R54/2,IF(DATEDIF("1/5/2008",A54,"M")/12=10,R54,IF(DATEDIF("1/5/2008",A54,"M")/12=15,R54*1.5,IF(DATEDIF("1/5/2008",A54,"M")/12=20,R54*2,0)))),IF(DATEDIF(Resumen!$B$6,A54,"M")/12=5,R54/2,IF(DATEDIF(Resumen!$B$6,A54,"M")/12=10,R54,IF(DATEDIF(Resumen!$B$6,A54,"M")/12=15,R54*1.5,IF(DATEDIF(Resumen!$B$6,A54,"M")/12=20,R54*2,IF(DATEDIF(Resumen!$B$6,A54,"M")/12=25,R54*2.5,IF(DATEDIF(Resumen!$B$6,A54,"M")/12=30,R54*3)))))))</f>
        <v>0</v>
      </c>
      <c r="AA54" s="19">
        <f>(IF(Resumen!$B$20="Sí",IF(Resumen!$C$20&lt;=A54,IF(DATEDIF(Resumen!$C$20,A54,"Y")&lt;8,VLOOKUP(YEAR(A54),Resumen!$O$7:$P$12,2,0),0),0),0))+(IF(Resumen!$B$21="Sí",IF(Resumen!$C$21&lt;=A54,IF(DATEDIF(Resumen!$C$21,A54,"Y")&lt;8,VLOOKUP(YEAR(A54),Resumen!$O$7:$P$12,2,0),0),0),0))</f>
        <v>0</v>
      </c>
      <c r="AB54" s="1">
        <f>IF(MONTH(A54)=12,VLOOKUP(YEAR(A54),Resumen!$O$7:$P$12,2,0),0)</f>
        <v>0</v>
      </c>
      <c r="AC54" s="1">
        <f t="shared" si="28"/>
        <v>0</v>
      </c>
      <c r="AD54" s="19">
        <f>(IF(Resumen!$B$25="Sí",IF(DATE(YEAR(Resumen!$C$25),MONTH(Resumen!$C$25),1)=A54,1000,0)+(IF(Resumen!$B$26="Sí",IF(DATE(YEAR(Resumen!$C$26),MONTH(Resumen!$C$26),1)=A54,1000,0),0)),0))</f>
        <v>0</v>
      </c>
      <c r="AE54" s="1">
        <v>0</v>
      </c>
      <c r="AF54" s="1">
        <v>0</v>
      </c>
      <c r="AG54" s="19">
        <v>130</v>
      </c>
      <c r="AH54" s="1">
        <v>0</v>
      </c>
      <c r="AI54" s="19">
        <f>IF(MONTH(A54)=12,IF(Resumen!$B$9="Sí",(15+DATEDIF("1/5/2008",A54,"y")-5)*50,(15+DATEDIF(Resumen!$B$6,A54,"y")-5)*50),0)</f>
        <v>0</v>
      </c>
      <c r="AJ54" s="5">
        <f>IF(Resumen!$B$13="No",IF(Resumen!$B$12="No",20,100),0)</f>
        <v>20</v>
      </c>
      <c r="AK54" s="1">
        <f>IF(Resumen!$B$14="Código",(R54+S54+T54)*9.45%*-1,(R54+S54+T54)*11.45%*-1)</f>
        <v>-173.124</v>
      </c>
      <c r="AM54" s="3">
        <f t="shared" si="29"/>
        <v>0</v>
      </c>
      <c r="AN54" s="4">
        <f t="shared" si="30"/>
        <v>0</v>
      </c>
      <c r="AO54" s="4">
        <f t="shared" si="31"/>
        <v>0</v>
      </c>
      <c r="AP54" s="4">
        <f t="shared" si="32"/>
        <v>0</v>
      </c>
      <c r="AQ54" s="4">
        <f t="shared" si="33"/>
        <v>0</v>
      </c>
      <c r="AR54" s="4">
        <f t="shared" si="34"/>
        <v>0</v>
      </c>
      <c r="AS54" s="4">
        <f t="shared" si="35"/>
        <v>0</v>
      </c>
      <c r="AT54" s="4">
        <f t="shared" si="36"/>
        <v>0</v>
      </c>
      <c r="AU54" s="6">
        <f t="shared" si="37"/>
        <v>0</v>
      </c>
      <c r="AV54" s="6">
        <f t="shared" si="38"/>
        <v>0</v>
      </c>
      <c r="AW54" s="6">
        <f t="shared" si="39"/>
        <v>0</v>
      </c>
      <c r="AX54" s="6">
        <f t="shared" si="40"/>
        <v>20</v>
      </c>
      <c r="AY54" s="6">
        <f t="shared" si="41"/>
        <v>0</v>
      </c>
      <c r="AZ54" s="6">
        <f t="shared" si="42"/>
        <v>0</v>
      </c>
      <c r="BA54" s="6">
        <f t="shared" si="43"/>
        <v>0</v>
      </c>
      <c r="BB54" s="6">
        <f t="shared" si="44"/>
        <v>0</v>
      </c>
      <c r="BD54" s="3">
        <f t="shared" si="45"/>
        <v>20</v>
      </c>
      <c r="BE54" s="3">
        <v>0</v>
      </c>
    </row>
    <row r="55" spans="1:57" x14ac:dyDescent="0.25">
      <c r="A55" s="7">
        <v>44682</v>
      </c>
      <c r="B55" s="9">
        <f>IF(Resumen!$B$14="Código",IF(A55&lt;DATE(2021,7,1),Resumen!$B$7,Resumen!$B$7+300),IF(A55&lt;DATE(2022,3,1),Resumen!$B$7,Resumen!$B$7+300))</f>
        <v>1512</v>
      </c>
      <c r="C55" s="76">
        <f>Detalle!C55</f>
        <v>9</v>
      </c>
      <c r="D55" s="76">
        <f>Detalle!D55</f>
        <v>16</v>
      </c>
      <c r="E55" s="4">
        <f t="shared" si="18"/>
        <v>85.05</v>
      </c>
      <c r="F55" s="4">
        <f t="shared" si="19"/>
        <v>201.6</v>
      </c>
      <c r="G55" s="4">
        <f>IF(Resumen!$B$14="Código",IF(A55&lt;DATE(2021,7,1),(Resumen!$B$7*0.25%)*DATEDIF("1/1/2009",A55,"y"),IF(Resumen!$B$9="Sí",(((B55*0.03)+(VLOOKUP(YEAR(A55),Resumen!$O$7:$P$12,2,0)*0.05))*DATEDIF(MAX("1/5/2008",Resumen!$B$6),A55,"y")),(((B55*0.03)+(VLOOKUP(YEAR(A55),Resumen!$O$7:$P$12,2,0)*0.05))*DATEDIF(Resumen!$B$6,A55,"y")))),IF(A55&lt;DATE(2022,3,1),(Resumen!$B$7*0.25%)*DATEDIF("1/1/2009",A55,"y"),IF(Resumen!$B$9="Sí",(((B55*0.03)+(VLOOKUP(YEAR(A55),Resumen!$O$7:$P$12,2,0)*0.05))*DATEDIF(MAX("1/5/2008",Resumen!$B$6),A55,"y")),(((B55*0.03)+(VLOOKUP(YEAR(A55),Resumen!$O$7:$P$12,2,0)*0.05))*DATEDIF(Resumen!$B$6,A55,"y")))))</f>
        <v>799.31999999999994</v>
      </c>
      <c r="H55" s="4">
        <f t="shared" si="46"/>
        <v>149.88999999999999</v>
      </c>
      <c r="I55" s="4">
        <f t="shared" si="47"/>
        <v>149.83000000000001</v>
      </c>
      <c r="J55" s="1">
        <f>IF(Resumen!$B$14="Código",IF(A55&lt;DATE(2021,7,1),0,(0.03*(VLOOKUP(YEAR(A55),Resumen!$O$7:$P$12,2,0))*Resumen!$B$8)),IF(A55&lt;DATE(2022,3,1),0,(0.03*(VLOOKUP(YEAR(A55),Resumen!$O$7:$P$12,2,0))*Resumen!$B$8)))</f>
        <v>25.5</v>
      </c>
      <c r="K55" s="1">
        <f>IF(Resumen!$B$14="Código",IF(A55&lt;DATE(2021,7,1),0,50),IF(A55&lt;DATE(2022,3,1),0,50))</f>
        <v>50</v>
      </c>
      <c r="L55" s="1">
        <v>0</v>
      </c>
      <c r="M55" s="1">
        <v>0</v>
      </c>
      <c r="N55" s="1">
        <v>0</v>
      </c>
      <c r="O55" s="1">
        <v>0</v>
      </c>
      <c r="P55" s="1">
        <f>IF(Resumen!$B$14="Código",(B55+E55+F55)*9.45%*-1,(B55+E55+F55)*11.45%*-1)</f>
        <v>-205.94542499999997</v>
      </c>
      <c r="Q55" s="3"/>
      <c r="R55" s="9">
        <f t="shared" si="27"/>
        <v>1512</v>
      </c>
      <c r="S55" s="4">
        <f t="shared" si="22"/>
        <v>85.05</v>
      </c>
      <c r="T55" s="4">
        <f t="shared" si="23"/>
        <v>201.6</v>
      </c>
      <c r="U55" s="4">
        <f t="shared" si="24"/>
        <v>149.88999999999999</v>
      </c>
      <c r="V55" s="4">
        <f t="shared" si="25"/>
        <v>149.83000000000001</v>
      </c>
      <c r="W55" s="4">
        <f>(0.03*(VLOOKUP(YEAR(A55),Resumen!$O$7:$P$12,2,0))*Resumen!$B$8)</f>
        <v>25.5</v>
      </c>
      <c r="X55" s="4">
        <f>IF(Resumen!$B$9="Sí",(((R55*0.03)+(VLOOKUP(YEAR(A55),Resumen!$O$7:$P$12,2,0)*0.05))*DATEDIF(MAX("1/5/2008",Resumen!$B$6),A55,"y")),(((R55*0.03)+(VLOOKUP(YEAR(A55),Resumen!$O$7:$P$12,2,0)*0.05))*DATEDIF(Resumen!$B$6,A55,"y")))</f>
        <v>799.31999999999994</v>
      </c>
      <c r="Y55" s="3">
        <v>50</v>
      </c>
      <c r="Z55" s="1">
        <f>IF(Resumen!$B$9="Sí",IF(DATEDIF("1/5/2008",A55,"M")/12=5,R55/2,IF(DATEDIF("1/5/2008",A55,"M")/12=10,R55,IF(DATEDIF("1/5/2008",A55,"M")/12=15,R55*1.5,IF(DATEDIF("1/5/2008",A55,"M")/12=20,R55*2,0)))),IF(DATEDIF(Resumen!$B$6,A55,"M")/12=5,R55/2,IF(DATEDIF(Resumen!$B$6,A55,"M")/12=10,R55,IF(DATEDIF(Resumen!$B$6,A55,"M")/12=15,R55*1.5,IF(DATEDIF(Resumen!$B$6,A55,"M")/12=20,R55*2,IF(DATEDIF(Resumen!$B$6,A55,"M")/12=25,R55*2.5,IF(DATEDIF(Resumen!$B$6,A55,"M")/12=30,R55*3)))))))</f>
        <v>0</v>
      </c>
      <c r="AA55" s="19">
        <f>(IF(Resumen!$B$20="Sí",IF(Resumen!$C$20&lt;=A55,IF(DATEDIF(Resumen!$C$20,A55,"Y")&lt;8,VLOOKUP(YEAR(A55),Resumen!$O$7:$P$12,2,0),0),0),0))+(IF(Resumen!$B$21="Sí",IF(Resumen!$C$21&lt;=A55,IF(DATEDIF(Resumen!$C$21,A55,"Y")&lt;8,VLOOKUP(YEAR(A55),Resumen!$O$7:$P$12,2,0),0),0),0))</f>
        <v>0</v>
      </c>
      <c r="AB55" s="1">
        <f>IF(MONTH(A55)=12,VLOOKUP(YEAR(A55),Resumen!$O$7:$P$12,2,0),0)</f>
        <v>0</v>
      </c>
      <c r="AC55" s="1">
        <f t="shared" si="28"/>
        <v>0</v>
      </c>
      <c r="AD55" s="19">
        <f>(IF(Resumen!$B$25="Sí",IF(DATE(YEAR(Resumen!$C$25),MONTH(Resumen!$C$25),1)=A55,1000,0)+(IF(Resumen!$B$26="Sí",IF(DATE(YEAR(Resumen!$C$26),MONTH(Resumen!$C$26),1)=A55,1000,0),0)),0))</f>
        <v>0</v>
      </c>
      <c r="AE55" s="1">
        <v>0</v>
      </c>
      <c r="AF55" s="1">
        <v>0</v>
      </c>
      <c r="AG55" s="19">
        <v>130</v>
      </c>
      <c r="AH55" s="1">
        <v>0</v>
      </c>
      <c r="AI55" s="19">
        <f>IF(MONTH(A55)=12,IF(Resumen!$B$9="Sí",(15+DATEDIF("1/5/2008",A55,"y")-5)*50,(15+DATEDIF(Resumen!$B$6,A55,"y")-5)*50),0)</f>
        <v>0</v>
      </c>
      <c r="AJ55" s="5">
        <f>IF(Resumen!$B$13="No",IF(Resumen!$B$12="No",20,100),0)</f>
        <v>20</v>
      </c>
      <c r="AK55" s="1">
        <f>IF(Resumen!$B$14="Código",(R55+S55+T55)*9.45%*-1,(R55+S55+T55)*11.45%*-1)</f>
        <v>-205.94542499999997</v>
      </c>
      <c r="AM55" s="3">
        <f t="shared" si="29"/>
        <v>0</v>
      </c>
      <c r="AN55" s="4">
        <f t="shared" si="30"/>
        <v>0</v>
      </c>
      <c r="AO55" s="4">
        <f t="shared" si="31"/>
        <v>0</v>
      </c>
      <c r="AP55" s="4">
        <f t="shared" si="32"/>
        <v>0</v>
      </c>
      <c r="AQ55" s="4">
        <f t="shared" si="33"/>
        <v>0</v>
      </c>
      <c r="AR55" s="4">
        <f t="shared" si="34"/>
        <v>0</v>
      </c>
      <c r="AS55" s="4">
        <f t="shared" si="35"/>
        <v>0</v>
      </c>
      <c r="AT55" s="4">
        <f t="shared" si="36"/>
        <v>0</v>
      </c>
      <c r="AU55" s="6">
        <f t="shared" si="37"/>
        <v>0</v>
      </c>
      <c r="AV55" s="6">
        <f t="shared" si="38"/>
        <v>0</v>
      </c>
      <c r="AW55" s="6">
        <f t="shared" si="39"/>
        <v>0</v>
      </c>
      <c r="AX55" s="6">
        <f t="shared" si="40"/>
        <v>20</v>
      </c>
      <c r="AY55" s="6">
        <f t="shared" si="41"/>
        <v>0</v>
      </c>
      <c r="AZ55" s="6">
        <f t="shared" si="42"/>
        <v>0</v>
      </c>
      <c r="BA55" s="6">
        <f t="shared" si="43"/>
        <v>0</v>
      </c>
      <c r="BB55" s="6">
        <f t="shared" si="44"/>
        <v>0</v>
      </c>
      <c r="BD55" s="3">
        <f t="shared" si="45"/>
        <v>20</v>
      </c>
      <c r="BE55" s="3">
        <v>0</v>
      </c>
    </row>
    <row r="56" spans="1:57" x14ac:dyDescent="0.25">
      <c r="A56" s="7">
        <v>44713</v>
      </c>
      <c r="B56" s="9">
        <f>IF(Resumen!$B$14="Código",IF(A56&lt;DATE(2021,7,1),Resumen!$B$7,Resumen!$B$7+300),IF(A56&lt;DATE(2022,3,1),Resumen!$B$7,Resumen!$B$7+300))</f>
        <v>1512</v>
      </c>
      <c r="C56" s="76">
        <f>Detalle!C56</f>
        <v>9</v>
      </c>
      <c r="D56" s="76">
        <f>Detalle!D56</f>
        <v>13.72</v>
      </c>
      <c r="E56" s="4">
        <f t="shared" si="18"/>
        <v>85.05</v>
      </c>
      <c r="F56" s="4">
        <f>ROUND((B56/30/8)*2*D56,2)</f>
        <v>172.87</v>
      </c>
      <c r="G56" s="4">
        <f>IF(Resumen!$B$14="Código",IF(A56&lt;DATE(2021,7,1),(Resumen!$B$7*0.25%)*DATEDIF("1/1/2009",A56,"y"),IF(Resumen!$B$9="Sí",(((B56*0.03)+(VLOOKUP(YEAR(A56),Resumen!$O$7:$P$12,2,0)*0.05))*DATEDIF(MAX("1/5/2008",Resumen!$B$6),A56,"y")),(((B56*0.03)+(VLOOKUP(YEAR(A56),Resumen!$O$7:$P$12,2,0)*0.05))*DATEDIF(Resumen!$B$6,A56,"y")))),IF(A56&lt;DATE(2022,3,1),(Resumen!$B$7*0.25%)*DATEDIF("1/1/2009",A56,"y"),IF(Resumen!$B$9="Sí",(((B56*0.03)+(VLOOKUP(YEAR(A56),Resumen!$O$7:$P$12,2,0)*0.05))*DATEDIF(MAX("1/5/2008",Resumen!$B$6),A56,"y")),(((B56*0.03)+(VLOOKUP(YEAR(A56),Resumen!$O$7:$P$12,2,0)*0.05))*DATEDIF(Resumen!$B$6,A56,"y")))))</f>
        <v>799.31999999999994</v>
      </c>
      <c r="H56" s="4">
        <f t="shared" si="46"/>
        <v>147.49</v>
      </c>
      <c r="I56" s="4">
        <f t="shared" si="47"/>
        <v>147.43</v>
      </c>
      <c r="J56" s="1">
        <f>IF(Resumen!$B$14="Código",IF(A56&lt;DATE(2021,7,1),0,(0.03*(VLOOKUP(YEAR(A56),Resumen!$O$7:$P$12,2,0))*Resumen!$B$8)),IF(A56&lt;DATE(2022,3,1),0,(0.03*(VLOOKUP(YEAR(A56),Resumen!$O$7:$P$12,2,0))*Resumen!$B$8)))</f>
        <v>25.5</v>
      </c>
      <c r="K56" s="1">
        <f>IF(Resumen!$B$14="Código",IF(A56&lt;DATE(2021,7,1),0,50),IF(A56&lt;DATE(2022,3,1),0,50))</f>
        <v>50</v>
      </c>
      <c r="L56" s="1">
        <v>0</v>
      </c>
      <c r="M56" s="1">
        <v>0</v>
      </c>
      <c r="N56" s="1">
        <v>0</v>
      </c>
      <c r="O56" s="1">
        <v>0</v>
      </c>
      <c r="P56" s="1">
        <f>IF(Resumen!$B$14="Código",(B56+E56+F56)*9.45%*-1,(B56+E56+F56)*11.45%*-1)</f>
        <v>-202.65583999999998</v>
      </c>
      <c r="Q56" s="3"/>
      <c r="R56" s="9">
        <f t="shared" si="27"/>
        <v>1512</v>
      </c>
      <c r="S56" s="4">
        <f t="shared" si="22"/>
        <v>85.05</v>
      </c>
      <c r="T56" s="4">
        <f t="shared" si="23"/>
        <v>172.87</v>
      </c>
      <c r="U56" s="4">
        <f t="shared" si="24"/>
        <v>147.49</v>
      </c>
      <c r="V56" s="4">
        <f t="shared" si="25"/>
        <v>147.43</v>
      </c>
      <c r="W56" s="4">
        <f>(0.03*(VLOOKUP(YEAR(A56),Resumen!$O$7:$P$12,2,0))*Resumen!$B$8)</f>
        <v>25.5</v>
      </c>
      <c r="X56" s="4">
        <f>IF(Resumen!$B$9="Sí",(((R56*0.03)+(VLOOKUP(YEAR(A56),Resumen!$O$7:$P$12,2,0)*0.05))*DATEDIF(MAX("1/5/2008",Resumen!$B$6),A56,"y")),(((R56*0.03)+(VLOOKUP(YEAR(A56),Resumen!$O$7:$P$12,2,0)*0.05))*DATEDIF(Resumen!$B$6,A56,"y")))</f>
        <v>799.31999999999994</v>
      </c>
      <c r="Y56" s="3">
        <v>50</v>
      </c>
      <c r="Z56" s="1">
        <f>IF(Resumen!$B$9="Sí",IF(DATEDIF("1/5/2008",A56,"M")/12=5,R56/2,IF(DATEDIF("1/5/2008",A56,"M")/12=10,R56,IF(DATEDIF("1/5/2008",A56,"M")/12=15,R56*1.5,IF(DATEDIF("1/5/2008",A56,"M")/12=20,R56*2,0)))),IF(DATEDIF(Resumen!$B$6,A56,"M")/12=5,R56/2,IF(DATEDIF(Resumen!$B$6,A56,"M")/12=10,R56,IF(DATEDIF(Resumen!$B$6,A56,"M")/12=15,R56*1.5,IF(DATEDIF(Resumen!$B$6,A56,"M")/12=20,R56*2,IF(DATEDIF(Resumen!$B$6,A56,"M")/12=25,R56*2.5,IF(DATEDIF(Resumen!$B$6,A56,"M")/12=30,R56*3)))))))</f>
        <v>0</v>
      </c>
      <c r="AA56" s="19">
        <f>(IF(Resumen!$B$20="Sí",IF(Resumen!$C$20&lt;=A56,IF(DATEDIF(Resumen!$C$20,A56,"Y")&lt;8,VLOOKUP(YEAR(A56),Resumen!$O$7:$P$12,2,0),0),0),0))+(IF(Resumen!$B$21="Sí",IF(Resumen!$C$21&lt;=A56,IF(DATEDIF(Resumen!$C$21,A56,"Y")&lt;8,VLOOKUP(YEAR(A56),Resumen!$O$7:$P$12,2,0),0),0),0))</f>
        <v>0</v>
      </c>
      <c r="AB56" s="1">
        <f>IF(MONTH(A56)=12,VLOOKUP(YEAR(A56),Resumen!$O$7:$P$12,2,0),0)</f>
        <v>0</v>
      </c>
      <c r="AC56" s="1">
        <f t="shared" si="28"/>
        <v>0</v>
      </c>
      <c r="AD56" s="19">
        <f>(IF(Resumen!$B$25="Sí",IF(DATE(YEAR(Resumen!$C$25),MONTH(Resumen!$C$25),1)=A56,1000,0)+(IF(Resumen!$B$26="Sí",IF(DATE(YEAR(Resumen!$C$26),MONTH(Resumen!$C$26),1)=A56,1000,0),0)),0))</f>
        <v>0</v>
      </c>
      <c r="AE56" s="1">
        <v>0</v>
      </c>
      <c r="AF56" s="1">
        <v>0</v>
      </c>
      <c r="AG56" s="19">
        <v>130</v>
      </c>
      <c r="AH56" s="1">
        <v>0</v>
      </c>
      <c r="AI56" s="19">
        <f>IF(MONTH(A56)=12,IF(Resumen!$B$9="Sí",(15+DATEDIF("1/5/2008",A56,"y")-5)*50,(15+DATEDIF(Resumen!$B$6,A56,"y")-5)*50),0)</f>
        <v>0</v>
      </c>
      <c r="AJ56" s="5">
        <f>IF(Resumen!$B$13="No",IF(Resumen!$B$12="No",20,100),0)</f>
        <v>20</v>
      </c>
      <c r="AK56" s="1">
        <f>IF(Resumen!$B$14="Código",(R56+S56+T56)*9.45%*-1,(R56+S56+T56)*11.45%*-1)</f>
        <v>-202.65583999999998</v>
      </c>
      <c r="AM56" s="3">
        <f t="shared" si="29"/>
        <v>0</v>
      </c>
      <c r="AN56" s="4">
        <f t="shared" si="30"/>
        <v>0</v>
      </c>
      <c r="AO56" s="4">
        <f t="shared" si="31"/>
        <v>0</v>
      </c>
      <c r="AP56" s="4">
        <f t="shared" si="32"/>
        <v>0</v>
      </c>
      <c r="AQ56" s="4">
        <f t="shared" si="33"/>
        <v>0</v>
      </c>
      <c r="AR56" s="4">
        <f t="shared" si="34"/>
        <v>0</v>
      </c>
      <c r="AS56" s="4">
        <f t="shared" si="35"/>
        <v>0</v>
      </c>
      <c r="AT56" s="4">
        <f t="shared" si="36"/>
        <v>0</v>
      </c>
      <c r="AU56" s="6">
        <f t="shared" si="37"/>
        <v>0</v>
      </c>
      <c r="AV56" s="6">
        <f t="shared" si="38"/>
        <v>0</v>
      </c>
      <c r="AW56" s="6">
        <f t="shared" si="39"/>
        <v>0</v>
      </c>
      <c r="AX56" s="6">
        <f t="shared" si="40"/>
        <v>20</v>
      </c>
      <c r="AY56" s="6">
        <f t="shared" si="41"/>
        <v>0</v>
      </c>
      <c r="AZ56" s="6">
        <f t="shared" si="42"/>
        <v>0</v>
      </c>
      <c r="BA56" s="6">
        <f t="shared" si="43"/>
        <v>0</v>
      </c>
      <c r="BB56" s="6">
        <f t="shared" si="44"/>
        <v>0</v>
      </c>
      <c r="BD56" s="3">
        <f t="shared" si="45"/>
        <v>20</v>
      </c>
      <c r="BE56" s="3">
        <v>0</v>
      </c>
    </row>
    <row r="57" spans="1:57" x14ac:dyDescent="0.25">
      <c r="A57" s="7">
        <v>44743</v>
      </c>
      <c r="B57" s="9">
        <f>IF(Resumen!$B$14="Código",IF(A57&lt;DATE(2021,7,1),Resumen!$B$7,Resumen!$B$7+300),IF(A57&lt;DATE(2022,3,1),Resumen!$B$7,Resumen!$B$7+300))</f>
        <v>1512</v>
      </c>
      <c r="C57" s="76">
        <f>Detalle!C57</f>
        <v>6</v>
      </c>
      <c r="D57" s="76">
        <f>Detalle!D57</f>
        <v>6</v>
      </c>
      <c r="E57" s="4">
        <f t="shared" si="18"/>
        <v>56.7</v>
      </c>
      <c r="F57" s="4">
        <f t="shared" si="19"/>
        <v>75.599999999999994</v>
      </c>
      <c r="G57" s="4">
        <f>IF(Resumen!$B$14="Código",IF(A57&lt;DATE(2021,7,1),(Resumen!$B$7*0.25%)*DATEDIF("1/1/2009",A57,"y"),IF(Resumen!$B$9="Sí",(((B57*0.03)+(VLOOKUP(YEAR(A57),Resumen!$O$7:$P$12,2,0)*0.05))*DATEDIF(MAX("1/5/2008",Resumen!$B$6),A57,"y")),(((B57*0.03)+(VLOOKUP(YEAR(A57),Resumen!$O$7:$P$12,2,0)*0.05))*DATEDIF(Resumen!$B$6,A57,"y")))),IF(A57&lt;DATE(2022,3,1),(Resumen!$B$7*0.25%)*DATEDIF("1/1/2009",A57,"y"),IF(Resumen!$B$9="Sí",(((B57*0.03)+(VLOOKUP(YEAR(A57),Resumen!$O$7:$P$12,2,0)*0.05))*DATEDIF(MAX("1/5/2008",Resumen!$B$6),A57,"y")),(((B57*0.03)+(VLOOKUP(YEAR(A57),Resumen!$O$7:$P$12,2,0)*0.05))*DATEDIF(Resumen!$B$6,A57,"y")))))</f>
        <v>799.31999999999994</v>
      </c>
      <c r="H57" s="4">
        <f t="shared" si="46"/>
        <v>137.03</v>
      </c>
      <c r="I57" s="4">
        <f t="shared" si="47"/>
        <v>136.97</v>
      </c>
      <c r="J57" s="1">
        <f>IF(Resumen!$B$14="Código",IF(A57&lt;DATE(2021,7,1),0,(0.03*(VLOOKUP(YEAR(A57),Resumen!$O$7:$P$12,2,0))*Resumen!$B$8)),IF(A57&lt;DATE(2022,3,1),0,(0.03*(VLOOKUP(YEAR(A57),Resumen!$O$7:$P$12,2,0))*Resumen!$B$8)))</f>
        <v>25.5</v>
      </c>
      <c r="K57" s="1">
        <f>IF(Resumen!$B$14="Código",IF(A57&lt;DATE(2021,7,1),0,50),IF(A57&lt;DATE(2022,3,1),0,50))</f>
        <v>50</v>
      </c>
      <c r="L57" s="1">
        <v>0</v>
      </c>
      <c r="M57" s="1">
        <v>0</v>
      </c>
      <c r="N57" s="1">
        <v>0</v>
      </c>
      <c r="O57" s="1">
        <v>0</v>
      </c>
      <c r="P57" s="1">
        <f>IF(Resumen!$B$14="Código",(B57+E57+F57)*9.45%*-1,(B57+E57+F57)*11.45%*-1)</f>
        <v>-188.27234999999999</v>
      </c>
      <c r="Q57" s="3"/>
      <c r="R57" s="9">
        <f t="shared" si="27"/>
        <v>1512</v>
      </c>
      <c r="S57" s="4">
        <f t="shared" si="22"/>
        <v>56.7</v>
      </c>
      <c r="T57" s="4">
        <f t="shared" si="23"/>
        <v>75.599999999999994</v>
      </c>
      <c r="U57" s="4">
        <f t="shared" si="24"/>
        <v>137.03</v>
      </c>
      <c r="V57" s="4">
        <f t="shared" si="25"/>
        <v>136.97</v>
      </c>
      <c r="W57" s="4">
        <f>(0.03*(VLOOKUP(YEAR(A57),Resumen!$O$7:$P$12,2,0))*Resumen!$B$8)</f>
        <v>25.5</v>
      </c>
      <c r="X57" s="4">
        <f>IF(Resumen!$B$9="Sí",(((R57*0.03)+(VLOOKUP(YEAR(A57),Resumen!$O$7:$P$12,2,0)*0.05))*DATEDIF(MAX("1/5/2008",Resumen!$B$6),A57,"y")),(((R57*0.03)+(VLOOKUP(YEAR(A57),Resumen!$O$7:$P$12,2,0)*0.05))*DATEDIF(Resumen!$B$6,A57,"y")))</f>
        <v>799.31999999999994</v>
      </c>
      <c r="Y57" s="3">
        <v>50</v>
      </c>
      <c r="Z57" s="1">
        <f>IF(Resumen!$B$9="Sí",IF(DATEDIF("1/5/2008",A57,"M")/12=5,R57/2,IF(DATEDIF("1/5/2008",A57,"M")/12=10,R57,IF(DATEDIF("1/5/2008",A57,"M")/12=15,R57*1.5,IF(DATEDIF("1/5/2008",A57,"M")/12=20,R57*2,0)))),IF(DATEDIF(Resumen!$B$6,A57,"M")/12=5,R57/2,IF(DATEDIF(Resumen!$B$6,A57,"M")/12=10,R57,IF(DATEDIF(Resumen!$B$6,A57,"M")/12=15,R57*1.5,IF(DATEDIF(Resumen!$B$6,A57,"M")/12=20,R57*2,IF(DATEDIF(Resumen!$B$6,A57,"M")/12=25,R57*2.5,IF(DATEDIF(Resumen!$B$6,A57,"M")/12=30,R57*3)))))))</f>
        <v>0</v>
      </c>
      <c r="AA57" s="19">
        <f>(IF(Resumen!$B$20="Sí",IF(Resumen!$C$20&lt;=A57,IF(DATEDIF(Resumen!$C$20,A57,"Y")&lt;8,VLOOKUP(YEAR(A57),Resumen!$O$7:$P$12,2,0),0),0),0))+(IF(Resumen!$B$21="Sí",IF(Resumen!$C$21&lt;=A57,IF(DATEDIF(Resumen!$C$21,A57,"Y")&lt;8,VLOOKUP(YEAR(A57),Resumen!$O$7:$P$12,2,0),0),0),0))</f>
        <v>0</v>
      </c>
      <c r="AB57" s="1">
        <f>IF(MONTH(A57)=12,VLOOKUP(YEAR(A57),Resumen!$O$7:$P$12,2,0),0)</f>
        <v>0</v>
      </c>
      <c r="AC57" s="1">
        <f t="shared" si="28"/>
        <v>0</v>
      </c>
      <c r="AD57" s="19">
        <f>(IF(Resumen!$B$25="Sí",IF(DATE(YEAR(Resumen!$C$25),MONTH(Resumen!$C$25),1)=A57,1000,0)+(IF(Resumen!$B$26="Sí",IF(DATE(YEAR(Resumen!$C$26),MONTH(Resumen!$C$26),1)=A57,1000,0),0)),0))</f>
        <v>0</v>
      </c>
      <c r="AE57" s="1">
        <v>0</v>
      </c>
      <c r="AF57" s="1">
        <v>0</v>
      </c>
      <c r="AG57" s="19">
        <v>130</v>
      </c>
      <c r="AH57" s="1">
        <v>0</v>
      </c>
      <c r="AI57" s="19">
        <f>IF(MONTH(A57)=12,IF(Resumen!$B$9="Sí",(15+DATEDIF("1/5/2008",A57,"y")-5)*50,(15+DATEDIF(Resumen!$B$6,A57,"y")-5)*50),0)</f>
        <v>0</v>
      </c>
      <c r="AJ57" s="5">
        <f>IF(Resumen!$B$13="No",IF(Resumen!$B$12="No",20,100),0)</f>
        <v>20</v>
      </c>
      <c r="AK57" s="1">
        <f>IF(Resumen!$B$14="Código",(R57+S57+T57)*9.45%*-1,(R57+S57+T57)*11.45%*-1)</f>
        <v>-188.27234999999999</v>
      </c>
      <c r="AM57" s="3">
        <f t="shared" si="29"/>
        <v>0</v>
      </c>
      <c r="AN57" s="4">
        <f t="shared" si="30"/>
        <v>0</v>
      </c>
      <c r="AO57" s="4">
        <f t="shared" si="31"/>
        <v>0</v>
      </c>
      <c r="AP57" s="4">
        <f t="shared" si="32"/>
        <v>0</v>
      </c>
      <c r="AQ57" s="4">
        <f t="shared" si="33"/>
        <v>0</v>
      </c>
      <c r="AR57" s="4">
        <f t="shared" si="34"/>
        <v>0</v>
      </c>
      <c r="AS57" s="4">
        <f t="shared" si="35"/>
        <v>0</v>
      </c>
      <c r="AT57" s="4">
        <f t="shared" si="36"/>
        <v>0</v>
      </c>
      <c r="AU57" s="6">
        <f t="shared" si="37"/>
        <v>0</v>
      </c>
      <c r="AV57" s="6">
        <f t="shared" si="38"/>
        <v>0</v>
      </c>
      <c r="AW57" s="6">
        <f t="shared" si="39"/>
        <v>0</v>
      </c>
      <c r="AX57" s="6">
        <f t="shared" si="40"/>
        <v>20</v>
      </c>
      <c r="AY57" s="6">
        <f t="shared" si="41"/>
        <v>0</v>
      </c>
      <c r="AZ57" s="6">
        <f t="shared" si="42"/>
        <v>0</v>
      </c>
      <c r="BA57" s="6">
        <f t="shared" si="43"/>
        <v>0</v>
      </c>
      <c r="BB57" s="6">
        <f t="shared" si="44"/>
        <v>0</v>
      </c>
      <c r="BD57" s="3">
        <f t="shared" si="45"/>
        <v>20</v>
      </c>
      <c r="BE57" s="3">
        <v>0</v>
      </c>
    </row>
    <row r="58" spans="1:57" x14ac:dyDescent="0.25">
      <c r="A58" s="7">
        <v>44774</v>
      </c>
      <c r="B58" s="9">
        <f>IF(Resumen!$B$14="Código",IF(A58&lt;DATE(2021,7,1),Resumen!$B$7,Resumen!$B$7+300),IF(A58&lt;DATE(2022,3,1),Resumen!$B$7,Resumen!$B$7+300))</f>
        <v>1512</v>
      </c>
      <c r="C58" s="76">
        <f>Detalle!C58</f>
        <v>9</v>
      </c>
      <c r="D58" s="76">
        <f>Detalle!D58</f>
        <v>8</v>
      </c>
      <c r="E58" s="4">
        <f t="shared" si="18"/>
        <v>85.05</v>
      </c>
      <c r="F58" s="4">
        <f t="shared" si="19"/>
        <v>100.8</v>
      </c>
      <c r="G58" s="4">
        <f>IF(Resumen!$B$14="Código",IF(A58&lt;DATE(2021,7,1),(Resumen!$B$7*0.25%)*DATEDIF("1/1/2009",A58,"y"),IF(Resumen!$B$9="Sí",(((B58*0.03)+(VLOOKUP(YEAR(A58),Resumen!$O$7:$P$12,2,0)*0.05))*DATEDIF(MAX("1/5/2008",Resumen!$B$6),A58,"y")),(((B58*0.03)+(VLOOKUP(YEAR(A58),Resumen!$O$7:$P$12,2,0)*0.05))*DATEDIF(Resumen!$B$6,A58,"y")))),IF(A58&lt;DATE(2022,3,1),(Resumen!$B$7*0.25%)*DATEDIF("1/1/2009",A58,"y"),IF(Resumen!$B$9="Sí",(((B58*0.03)+(VLOOKUP(YEAR(A58),Resumen!$O$7:$P$12,2,0)*0.05))*DATEDIF(MAX("1/5/2008",Resumen!$B$6),A58,"y")),(((B58*0.03)+(VLOOKUP(YEAR(A58),Resumen!$O$7:$P$12,2,0)*0.05))*DATEDIF(Resumen!$B$6,A58,"y")))))</f>
        <v>799.31999999999994</v>
      </c>
      <c r="H58" s="4">
        <f t="shared" si="46"/>
        <v>141.49</v>
      </c>
      <c r="I58" s="4">
        <f t="shared" si="47"/>
        <v>141.43</v>
      </c>
      <c r="J58" s="1">
        <f>IF(Resumen!$B$14="Código",IF(A58&lt;DATE(2021,7,1),0,(0.03*(VLOOKUP(YEAR(A58),Resumen!$O$7:$P$12,2,0))*Resumen!$B$8)),IF(A58&lt;DATE(2022,3,1),0,(0.03*(VLOOKUP(YEAR(A58),Resumen!$O$7:$P$12,2,0))*Resumen!$B$8)))</f>
        <v>25.5</v>
      </c>
      <c r="K58" s="1">
        <f>IF(Resumen!$B$14="Código",IF(A58&lt;DATE(2021,7,1),0,50),IF(A58&lt;DATE(2022,3,1),0,50))</f>
        <v>50</v>
      </c>
      <c r="L58" s="1">
        <v>0</v>
      </c>
      <c r="M58" s="1">
        <v>0</v>
      </c>
      <c r="N58" s="1">
        <v>0</v>
      </c>
      <c r="O58" s="1">
        <v>0</v>
      </c>
      <c r="P58" s="1">
        <f>IF(Resumen!$B$14="Código",(B58+E58+F58)*9.45%*-1,(B58+E58+F58)*11.45%*-1)</f>
        <v>-194.40382499999998</v>
      </c>
      <c r="Q58" s="3"/>
      <c r="R58" s="9">
        <f t="shared" si="27"/>
        <v>1512</v>
      </c>
      <c r="S58" s="4">
        <f t="shared" si="22"/>
        <v>85.05</v>
      </c>
      <c r="T58" s="4">
        <f t="shared" si="23"/>
        <v>100.8</v>
      </c>
      <c r="U58" s="4">
        <f t="shared" si="24"/>
        <v>141.49</v>
      </c>
      <c r="V58" s="4">
        <f t="shared" si="25"/>
        <v>141.43</v>
      </c>
      <c r="W58" s="4">
        <f>(0.03*(VLOOKUP(YEAR(A58),Resumen!$O$7:$P$12,2,0))*Resumen!$B$8)</f>
        <v>25.5</v>
      </c>
      <c r="X58" s="4">
        <f>IF(Resumen!$B$9="Sí",(((R58*0.03)+(VLOOKUP(YEAR(A58),Resumen!$O$7:$P$12,2,0)*0.05))*DATEDIF(MAX("1/5/2008",Resumen!$B$6),A58,"y")),(((R58*0.03)+(VLOOKUP(YEAR(A58),Resumen!$O$7:$P$12,2,0)*0.05))*DATEDIF(Resumen!$B$6,A58,"y")))</f>
        <v>799.31999999999994</v>
      </c>
      <c r="Y58" s="3">
        <v>50</v>
      </c>
      <c r="Z58" s="1">
        <f>IF(Resumen!$B$9="Sí",IF(DATEDIF("1/5/2008",A58,"M")/12=5,R58/2,IF(DATEDIF("1/5/2008",A58,"M")/12=10,R58,IF(DATEDIF("1/5/2008",A58,"M")/12=15,R58*1.5,IF(DATEDIF("1/5/2008",A58,"M")/12=20,R58*2,0)))),IF(DATEDIF(Resumen!$B$6,A58,"M")/12=5,R58/2,IF(DATEDIF(Resumen!$B$6,A58,"M")/12=10,R58,IF(DATEDIF(Resumen!$B$6,A58,"M")/12=15,R58*1.5,IF(DATEDIF(Resumen!$B$6,A58,"M")/12=20,R58*2,IF(DATEDIF(Resumen!$B$6,A58,"M")/12=25,R58*2.5,IF(DATEDIF(Resumen!$B$6,A58,"M")/12=30,R58*3)))))))</f>
        <v>0</v>
      </c>
      <c r="AA58" s="19">
        <f>(IF(Resumen!$B$20="Sí",IF(Resumen!$C$20&lt;=A58,IF(DATEDIF(Resumen!$C$20,A58,"Y")&lt;8,VLOOKUP(YEAR(A58),Resumen!$O$7:$P$12,2,0),0),0),0))+(IF(Resumen!$B$21="Sí",IF(Resumen!$C$21&lt;=A58,IF(DATEDIF(Resumen!$C$21,A58,"Y")&lt;8,VLOOKUP(YEAR(A58),Resumen!$O$7:$P$12,2,0),0),0),0))</f>
        <v>0</v>
      </c>
      <c r="AB58" s="1">
        <f>IF(MONTH(A58)=12,VLOOKUP(YEAR(A58),Resumen!$O$7:$P$12,2,0),0)</f>
        <v>0</v>
      </c>
      <c r="AC58" s="1">
        <f t="shared" si="28"/>
        <v>0</v>
      </c>
      <c r="AD58" s="19">
        <f>(IF(Resumen!$B$25="Sí",IF(DATE(YEAR(Resumen!$C$25),MONTH(Resumen!$C$25),1)=A58,1000,0)+(IF(Resumen!$B$26="Sí",IF(DATE(YEAR(Resumen!$C$26),MONTH(Resumen!$C$26),1)=A58,1000,0),0)),0))</f>
        <v>0</v>
      </c>
      <c r="AE58" s="1">
        <v>0</v>
      </c>
      <c r="AF58" s="1">
        <v>0</v>
      </c>
      <c r="AG58" s="19">
        <v>130</v>
      </c>
      <c r="AH58" s="1">
        <v>0</v>
      </c>
      <c r="AI58" s="19">
        <f>IF(MONTH(A58)=12,IF(Resumen!$B$9="Sí",(15+DATEDIF("1/5/2008",A58,"y")-5)*50,(15+DATEDIF(Resumen!$B$6,A58,"y")-5)*50),0)</f>
        <v>0</v>
      </c>
      <c r="AJ58" s="5">
        <f>IF(Resumen!$B$13="No",IF(Resumen!$B$12="No",20,100),0)</f>
        <v>20</v>
      </c>
      <c r="AK58" s="1">
        <f>IF(Resumen!$B$14="Código",(R58+S58+T58)*9.45%*-1,(R58+S58+T58)*11.45%*-1)</f>
        <v>-194.40382499999998</v>
      </c>
      <c r="AM58" s="3">
        <f t="shared" si="29"/>
        <v>0</v>
      </c>
      <c r="AN58" s="4">
        <f t="shared" si="30"/>
        <v>0</v>
      </c>
      <c r="AO58" s="4">
        <f t="shared" si="31"/>
        <v>0</v>
      </c>
      <c r="AP58" s="4">
        <f t="shared" si="32"/>
        <v>0</v>
      </c>
      <c r="AQ58" s="4">
        <f t="shared" si="33"/>
        <v>0</v>
      </c>
      <c r="AR58" s="4">
        <f t="shared" si="34"/>
        <v>0</v>
      </c>
      <c r="AS58" s="4">
        <f t="shared" si="35"/>
        <v>0</v>
      </c>
      <c r="AT58" s="4">
        <f t="shared" si="36"/>
        <v>0</v>
      </c>
      <c r="AU58" s="6">
        <f t="shared" si="37"/>
        <v>0</v>
      </c>
      <c r="AV58" s="6">
        <f t="shared" si="38"/>
        <v>0</v>
      </c>
      <c r="AW58" s="6">
        <f t="shared" si="39"/>
        <v>0</v>
      </c>
      <c r="AX58" s="6">
        <f t="shared" si="40"/>
        <v>20</v>
      </c>
      <c r="AY58" s="6">
        <f t="shared" si="41"/>
        <v>0</v>
      </c>
      <c r="AZ58" s="6">
        <f t="shared" si="42"/>
        <v>0</v>
      </c>
      <c r="BA58" s="6">
        <f t="shared" si="43"/>
        <v>0</v>
      </c>
      <c r="BB58" s="6">
        <f t="shared" si="44"/>
        <v>0</v>
      </c>
      <c r="BD58" s="3">
        <f t="shared" si="45"/>
        <v>20</v>
      </c>
      <c r="BE58" s="3">
        <v>0</v>
      </c>
    </row>
    <row r="59" spans="1:57" x14ac:dyDescent="0.25">
      <c r="A59" s="7">
        <v>44805</v>
      </c>
      <c r="B59" s="9">
        <f>IF(Resumen!$B$14="Código",IF(A59&lt;DATE(2021,7,1),Resumen!$B$7,Resumen!$B$7+300),IF(A59&lt;DATE(2022,3,1),Resumen!$B$7,Resumen!$B$7+300))</f>
        <v>1512</v>
      </c>
      <c r="C59" s="76">
        <f>Detalle!C59</f>
        <v>12</v>
      </c>
      <c r="D59" s="76">
        <f>Detalle!D59</f>
        <v>8</v>
      </c>
      <c r="E59" s="4">
        <f t="shared" si="18"/>
        <v>113.4</v>
      </c>
      <c r="F59" s="4">
        <f t="shared" si="19"/>
        <v>100.8</v>
      </c>
      <c r="G59" s="4">
        <f>IF(Resumen!$B$14="Código",IF(A59&lt;DATE(2021,7,1),(Resumen!$B$7*0.25%)*DATEDIF("1/1/2009",A59,"y"),IF(Resumen!$B$9="Sí",(((B59*0.03)+(VLOOKUP(YEAR(A59),Resumen!$O$7:$P$12,2,0)*0.05))*DATEDIF(MAX("1/5/2008",Resumen!$B$6),A59,"y")),(((B59*0.03)+(VLOOKUP(YEAR(A59),Resumen!$O$7:$P$12,2,0)*0.05))*DATEDIF(Resumen!$B$6,A59,"y")))),IF(A59&lt;DATE(2022,3,1),(Resumen!$B$7*0.25%)*DATEDIF("1/1/2009",A59,"y"),IF(Resumen!$B$9="Sí",(((B59*0.03)+(VLOOKUP(YEAR(A59),Resumen!$O$7:$P$12,2,0)*0.05))*DATEDIF(MAX("1/5/2008",Resumen!$B$6),A59,"y")),(((B59*0.03)+(VLOOKUP(YEAR(A59),Resumen!$O$7:$P$12,2,0)*0.05))*DATEDIF(Resumen!$B$6,A59,"y")))))</f>
        <v>799.31999999999994</v>
      </c>
      <c r="H59" s="4">
        <f t="shared" si="46"/>
        <v>143.85</v>
      </c>
      <c r="I59" s="4">
        <f t="shared" si="47"/>
        <v>143.79</v>
      </c>
      <c r="J59" s="1">
        <f>IF(Resumen!$B$14="Código",IF(A59&lt;DATE(2021,7,1),0,(0.03*(VLOOKUP(YEAR(A59),Resumen!$O$7:$P$12,2,0))*Resumen!$B$8)),IF(A59&lt;DATE(2022,3,1),0,(0.03*(VLOOKUP(YEAR(A59),Resumen!$O$7:$P$12,2,0))*Resumen!$B$8)))</f>
        <v>25.5</v>
      </c>
      <c r="K59" s="1">
        <f>IF(Resumen!$B$14="Código",IF(A59&lt;DATE(2021,7,1),0,50),IF(A59&lt;DATE(2022,3,1),0,50))</f>
        <v>50</v>
      </c>
      <c r="L59" s="1">
        <v>0</v>
      </c>
      <c r="M59" s="1">
        <v>0</v>
      </c>
      <c r="N59" s="1">
        <v>0</v>
      </c>
      <c r="O59" s="29">
        <v>10</v>
      </c>
      <c r="P59" s="1">
        <f>IF(Resumen!$B$14="LOEP",(B59+E59+F59)*11.45%*-1,(B59+E59+F59)*9.45%*-1)</f>
        <v>-163.12589999999997</v>
      </c>
      <c r="Q59" s="3"/>
      <c r="R59" s="9">
        <f t="shared" si="27"/>
        <v>1512</v>
      </c>
      <c r="S59" s="4">
        <f t="shared" si="22"/>
        <v>113.4</v>
      </c>
      <c r="T59" s="4">
        <f t="shared" si="23"/>
        <v>100.8</v>
      </c>
      <c r="U59" s="4">
        <f t="shared" si="24"/>
        <v>143.85</v>
      </c>
      <c r="V59" s="4">
        <f t="shared" si="25"/>
        <v>143.79</v>
      </c>
      <c r="W59" s="4">
        <f>(0.03*(VLOOKUP(YEAR(A59),Resumen!$O$7:$P$12,2,0))*Resumen!$B$8)</f>
        <v>25.5</v>
      </c>
      <c r="X59" s="4">
        <f>IF(Resumen!$B$9="Sí",(((R59*0.03)+(VLOOKUP(YEAR(A59),Resumen!$O$7:$P$12,2,0)*0.05))*DATEDIF(MAX("1/5/2008",Resumen!$B$6),A59,"y")),(((R59*0.03)+(VLOOKUP(YEAR(A59),Resumen!$O$7:$P$12,2,0)*0.05))*DATEDIF(Resumen!$B$6,A59,"y")))</f>
        <v>799.31999999999994</v>
      </c>
      <c r="Y59" s="3">
        <v>50</v>
      </c>
      <c r="Z59" s="1">
        <f>IF(Resumen!$B$9="Sí",IF(DATEDIF("1/5/2008",A59,"M")/12=5,R59/2,IF(DATEDIF("1/5/2008",A59,"M")/12=10,R59,IF(DATEDIF("1/5/2008",A59,"M")/12=15,R59*1.5,IF(DATEDIF("1/5/2008",A59,"M")/12=20,R59*2,0)))),IF(DATEDIF(Resumen!$B$6,A59,"M")/12=5,R59/2,IF(DATEDIF(Resumen!$B$6,A59,"M")/12=10,R59,IF(DATEDIF(Resumen!$B$6,A59,"M")/12=15,R59*1.5,IF(DATEDIF(Resumen!$B$6,A59,"M")/12=20,R59*2,IF(DATEDIF(Resumen!$B$6,A59,"M")/12=25,R59*2.5,IF(DATEDIF(Resumen!$B$6,A59,"M")/12=30,R59*3)))))))</f>
        <v>0</v>
      </c>
      <c r="AA59" s="19">
        <f>(IF(Resumen!$B$20="Sí",IF(Resumen!$C$20&lt;=A59,IF(DATEDIF(Resumen!$C$20,A59,"Y")&lt;8,VLOOKUP(YEAR(A59),Resumen!$O$7:$P$12,2,0),0),0),0))+(IF(Resumen!$B$21="Sí",IF(Resumen!$C$21&lt;=A59,IF(DATEDIF(Resumen!$C$21,A59,"Y")&lt;8,VLOOKUP(YEAR(A59),Resumen!$O$7:$P$12,2,0),0),0),0))</f>
        <v>0</v>
      </c>
      <c r="AB59" s="1">
        <f>IF(MONTH(A59)=12,VLOOKUP(YEAR(A59),Resumen!$O$7:$P$12,2,0),0)</f>
        <v>0</v>
      </c>
      <c r="AC59" s="1">
        <f t="shared" si="28"/>
        <v>0</v>
      </c>
      <c r="AD59" s="19">
        <f>(IF(Resumen!$B$25="Sí",IF(DATE(YEAR(Resumen!$C$25),MONTH(Resumen!$C$25),1)=A59,1000,0)+(IF(Resumen!$B$26="Sí",IF(DATE(YEAR(Resumen!$C$26),MONTH(Resumen!$C$26),1)=A59,1000,0),0)),0))</f>
        <v>0</v>
      </c>
      <c r="AE59" s="1">
        <v>0</v>
      </c>
      <c r="AF59" s="1">
        <v>0</v>
      </c>
      <c r="AG59" s="19">
        <v>130</v>
      </c>
      <c r="AH59" s="1">
        <v>0</v>
      </c>
      <c r="AI59" s="19">
        <f>IF(MONTH(A59)=12,IF(Resumen!$B$9="Sí",(15+DATEDIF("1/5/2008",A59,"y")-5)*50,(15+DATEDIF(Resumen!$B$6,A59,"y")-5)*50),0)</f>
        <v>0</v>
      </c>
      <c r="AJ59" s="5">
        <f>IF(Resumen!$B$13="No",IF(Resumen!$B$12="No",20,100),0)</f>
        <v>20</v>
      </c>
      <c r="AK59" s="1">
        <f>IF(Resumen!$B$14="LOEP",(R59+S59+T59)*11.45%*-1,(R59+S59+T59)*9.45%*-1)</f>
        <v>-163.12589999999997</v>
      </c>
      <c r="AM59" s="3">
        <f t="shared" si="29"/>
        <v>0</v>
      </c>
      <c r="AN59" s="4">
        <f t="shared" si="30"/>
        <v>0</v>
      </c>
      <c r="AO59" s="4">
        <f t="shared" si="31"/>
        <v>0</v>
      </c>
      <c r="AP59" s="4">
        <f t="shared" si="32"/>
        <v>0</v>
      </c>
      <c r="AQ59" s="4">
        <f t="shared" si="33"/>
        <v>0</v>
      </c>
      <c r="AR59" s="4">
        <f t="shared" si="34"/>
        <v>0</v>
      </c>
      <c r="AS59" s="4">
        <f t="shared" si="35"/>
        <v>0</v>
      </c>
      <c r="AT59" s="4">
        <f t="shared" si="36"/>
        <v>0</v>
      </c>
      <c r="AU59" s="6">
        <f t="shared" si="37"/>
        <v>0</v>
      </c>
      <c r="AV59" s="6">
        <f t="shared" si="38"/>
        <v>0</v>
      </c>
      <c r="AW59" s="6">
        <f t="shared" si="39"/>
        <v>0</v>
      </c>
      <c r="AX59" s="6">
        <f t="shared" si="40"/>
        <v>10</v>
      </c>
      <c r="AY59" s="6">
        <f t="shared" si="41"/>
        <v>0</v>
      </c>
      <c r="AZ59" s="6">
        <f t="shared" si="42"/>
        <v>0</v>
      </c>
      <c r="BA59" s="6">
        <f t="shared" si="43"/>
        <v>0</v>
      </c>
      <c r="BB59" s="6">
        <f t="shared" si="44"/>
        <v>0</v>
      </c>
      <c r="BD59" s="3">
        <f t="shared" si="45"/>
        <v>10</v>
      </c>
      <c r="BE59" s="3">
        <v>0</v>
      </c>
    </row>
    <row r="60" spans="1:57" x14ac:dyDescent="0.25">
      <c r="A60" s="7">
        <v>44835</v>
      </c>
      <c r="B60" s="9">
        <f>IF(Resumen!$B$14="Código",IF(A60&lt;DATE(2021,7,1),Resumen!$B$7,Resumen!$B$7+300),IF(A60&lt;DATE(2022,3,1),Resumen!$B$7,Resumen!$B$7+300))</f>
        <v>1512</v>
      </c>
      <c r="C60" s="76">
        <f>Detalle!C60</f>
        <v>6</v>
      </c>
      <c r="D60" s="76">
        <f>Detalle!D60</f>
        <v>7</v>
      </c>
      <c r="E60" s="4">
        <f t="shared" si="18"/>
        <v>56.7</v>
      </c>
      <c r="F60" s="4">
        <f t="shared" si="19"/>
        <v>88.2</v>
      </c>
      <c r="G60" s="4">
        <f>IF(Resumen!$B$14="Código",IF(A60&lt;DATE(2021,7,1),(Resumen!$B$7*0.25%)*DATEDIF("1/1/2009",A60,"y"),IF(Resumen!$B$9="Sí",(((B60*0.03)+(VLOOKUP(YEAR(A60),Resumen!$O$7:$P$12,2,0)*0.05))*DATEDIF(MAX("1/5/2008",Resumen!$B$6),A60,"y")),(((B60*0.03)+(VLOOKUP(YEAR(A60),Resumen!$O$7:$P$12,2,0)*0.05))*DATEDIF(Resumen!$B$6,A60,"y")))),IF(A60&lt;DATE(2022,3,1),(Resumen!$B$7*0.25%)*DATEDIF("1/1/2009",A60,"y"),IF(Resumen!$B$9="Sí",(((B60*0.03)+(VLOOKUP(YEAR(A60),Resumen!$O$7:$P$12,2,0)*0.05))*DATEDIF(MAX("1/5/2008",Resumen!$B$6),A60,"y")),(((B60*0.03)+(VLOOKUP(YEAR(A60),Resumen!$O$7:$P$12,2,0)*0.05))*DATEDIF(Resumen!$B$6,A60,"y")))))</f>
        <v>799.31999999999994</v>
      </c>
      <c r="H60" s="4">
        <f t="shared" si="46"/>
        <v>138.08000000000001</v>
      </c>
      <c r="I60" s="4">
        <f t="shared" si="47"/>
        <v>138.02000000000001</v>
      </c>
      <c r="J60" s="1">
        <f>IF(Resumen!$B$14="Código",IF(A60&lt;DATE(2021,7,1),0,(0.03*(VLOOKUP(YEAR(A60),Resumen!$O$7:$P$12,2,0))*Resumen!$B$8)),IF(A60&lt;DATE(2022,3,1),0,(0.03*(VLOOKUP(YEAR(A60),Resumen!$O$7:$P$12,2,0))*Resumen!$B$8)))</f>
        <v>25.5</v>
      </c>
      <c r="K60" s="1">
        <f>IF(Resumen!$B$14="Código",IF(A60&lt;DATE(2021,7,1),0,50),IF(A60&lt;DATE(2022,3,1),0,50))</f>
        <v>50</v>
      </c>
      <c r="L60" s="1">
        <v>0</v>
      </c>
      <c r="M60" s="1">
        <v>0</v>
      </c>
      <c r="N60" s="1">
        <v>0</v>
      </c>
      <c r="O60" s="29">
        <v>10</v>
      </c>
      <c r="P60" s="1">
        <f>IF(Resumen!$B$14="LOEP",(B60+E60+F60)*11.45%*-1,(B60+E60+F60)*9.45%*-1)</f>
        <v>-156.57704999999999</v>
      </c>
      <c r="Q60" s="3"/>
      <c r="R60" s="9">
        <f t="shared" si="27"/>
        <v>1512</v>
      </c>
      <c r="S60" s="4">
        <f t="shared" si="22"/>
        <v>56.7</v>
      </c>
      <c r="T60" s="4">
        <f t="shared" si="23"/>
        <v>88.2</v>
      </c>
      <c r="U60" s="4">
        <f t="shared" si="24"/>
        <v>138.08000000000001</v>
      </c>
      <c r="V60" s="4">
        <f t="shared" si="25"/>
        <v>138.02000000000001</v>
      </c>
      <c r="W60" s="4">
        <f>(0.03*(VLOOKUP(YEAR(A60),Resumen!$O$7:$P$12,2,0))*Resumen!$B$8)</f>
        <v>25.5</v>
      </c>
      <c r="X60" s="4">
        <f>IF(Resumen!$B$9="Sí",(((R60*0.03)+(VLOOKUP(YEAR(A60),Resumen!$O$7:$P$12,2,0)*0.05))*DATEDIF(MAX("1/5/2008",Resumen!$B$6),A60,"y")),(((R60*0.03)+(VLOOKUP(YEAR(A60),Resumen!$O$7:$P$12,2,0)*0.05))*DATEDIF(Resumen!$B$6,A60,"y")))</f>
        <v>799.31999999999994</v>
      </c>
      <c r="Y60" s="3">
        <v>50</v>
      </c>
      <c r="Z60" s="1">
        <f>IF(Resumen!$B$9="Sí",IF(DATEDIF("1/5/2008",A60,"M")/12=5,R60/2,IF(DATEDIF("1/5/2008",A60,"M")/12=10,R60,IF(DATEDIF("1/5/2008",A60,"M")/12=15,R60*1.5,IF(DATEDIF("1/5/2008",A60,"M")/12=20,R60*2,0)))),IF(DATEDIF(Resumen!$B$6,A60,"M")/12=5,R60/2,IF(DATEDIF(Resumen!$B$6,A60,"M")/12=10,R60,IF(DATEDIF(Resumen!$B$6,A60,"M")/12=15,R60*1.5,IF(DATEDIF(Resumen!$B$6,A60,"M")/12=20,R60*2,IF(DATEDIF(Resumen!$B$6,A60,"M")/12=25,R60*2.5,IF(DATEDIF(Resumen!$B$6,A60,"M")/12=30,R60*3)))))))</f>
        <v>0</v>
      </c>
      <c r="AA60" s="19">
        <f>(IF(Resumen!$B$20="Sí",IF(Resumen!$C$20&lt;=A60,IF(DATEDIF(Resumen!$C$20,A60,"Y")&lt;8,VLOOKUP(YEAR(A60),Resumen!$O$7:$P$12,2,0),0),0),0))+(IF(Resumen!$B$21="Sí",IF(Resumen!$C$21&lt;=A60,IF(DATEDIF(Resumen!$C$21,A60,"Y")&lt;8,VLOOKUP(YEAR(A60),Resumen!$O$7:$P$12,2,0),0),0),0))</f>
        <v>0</v>
      </c>
      <c r="AB60" s="1">
        <f>IF(MONTH(A60)=12,VLOOKUP(YEAR(A60),Resumen!$O$7:$P$12,2,0),0)</f>
        <v>0</v>
      </c>
      <c r="AC60" s="1">
        <f t="shared" si="28"/>
        <v>0</v>
      </c>
      <c r="AD60" s="19">
        <f>(IF(Resumen!$B$25="Sí",IF(DATE(YEAR(Resumen!$C$25),MONTH(Resumen!$C$25),1)=A60,1000,0)+(IF(Resumen!$B$26="Sí",IF(DATE(YEAR(Resumen!$C$26),MONTH(Resumen!$C$26),1)=A60,1000,0),0)),0))</f>
        <v>0</v>
      </c>
      <c r="AE60" s="1">
        <v>0</v>
      </c>
      <c r="AF60" s="1">
        <v>0</v>
      </c>
      <c r="AG60" s="19">
        <v>130</v>
      </c>
      <c r="AH60" s="1">
        <v>0</v>
      </c>
      <c r="AI60" s="19">
        <f>IF(MONTH(A60)=12,IF(Resumen!$B$9="Sí",(15+DATEDIF("1/5/2008",A60,"y")-5)*50,(15+DATEDIF(Resumen!$B$6,A60,"y")-5)*50),0)</f>
        <v>0</v>
      </c>
      <c r="AJ60" s="5">
        <f>IF(Resumen!$B$13="No",IF(Resumen!$B$12="No",20,100),0)</f>
        <v>20</v>
      </c>
      <c r="AK60" s="1">
        <f>IF(Resumen!$B$14="LOEP",(R60+S60+T60)*11.45%*-1,(R60+S60+T60)*9.45%*-1)</f>
        <v>-156.57704999999999</v>
      </c>
      <c r="AM60" s="3">
        <f t="shared" si="29"/>
        <v>0</v>
      </c>
      <c r="AN60" s="4">
        <f t="shared" si="30"/>
        <v>0</v>
      </c>
      <c r="AO60" s="4">
        <f t="shared" si="31"/>
        <v>0</v>
      </c>
      <c r="AP60" s="4">
        <f t="shared" si="32"/>
        <v>0</v>
      </c>
      <c r="AQ60" s="4">
        <f t="shared" si="33"/>
        <v>0</v>
      </c>
      <c r="AR60" s="4">
        <f t="shared" si="34"/>
        <v>0</v>
      </c>
      <c r="AS60" s="4">
        <f t="shared" si="35"/>
        <v>0</v>
      </c>
      <c r="AT60" s="4">
        <f t="shared" si="36"/>
        <v>0</v>
      </c>
      <c r="AU60" s="6">
        <f t="shared" si="37"/>
        <v>0</v>
      </c>
      <c r="AV60" s="6">
        <f t="shared" si="38"/>
        <v>0</v>
      </c>
      <c r="AW60" s="6">
        <f t="shared" si="39"/>
        <v>0</v>
      </c>
      <c r="AX60" s="6">
        <f t="shared" si="40"/>
        <v>10</v>
      </c>
      <c r="AY60" s="6">
        <f t="shared" si="41"/>
        <v>0</v>
      </c>
      <c r="AZ60" s="6">
        <f t="shared" si="42"/>
        <v>0</v>
      </c>
      <c r="BA60" s="6">
        <f t="shared" si="43"/>
        <v>0</v>
      </c>
      <c r="BB60" s="6">
        <f t="shared" si="44"/>
        <v>0</v>
      </c>
      <c r="BD60" s="3">
        <f t="shared" si="45"/>
        <v>10</v>
      </c>
      <c r="BE60" s="3">
        <v>0</v>
      </c>
    </row>
    <row r="61" spans="1:57" x14ac:dyDescent="0.25">
      <c r="A61" s="7">
        <v>44866</v>
      </c>
      <c r="B61" s="9">
        <f>IF(Resumen!$B$14="Código",IF(A61&lt;DATE(2021,7,1),Resumen!$B$7,Resumen!$B$7+300),IF(A61&lt;DATE(2022,3,1),Resumen!$B$7,Resumen!$B$7+300))</f>
        <v>1512</v>
      </c>
      <c r="C61" s="76">
        <f>Detalle!C61</f>
        <v>12</v>
      </c>
      <c r="D61" s="76">
        <f>Detalle!D61</f>
        <v>16</v>
      </c>
      <c r="E61" s="4">
        <f t="shared" si="18"/>
        <v>113.4</v>
      </c>
      <c r="F61" s="4">
        <f t="shared" si="19"/>
        <v>201.6</v>
      </c>
      <c r="G61" s="4">
        <f>IF(Resumen!$B$14="Código",IF(A61&lt;DATE(2021,7,1),(Resumen!$B$7*0.25%)*DATEDIF("1/1/2009",A61,"y"),IF(Resumen!$B$9="Sí",(((B61*0.03)+(VLOOKUP(YEAR(A61),Resumen!$O$7:$P$12,2,0)*0.05))*DATEDIF(MAX("1/5/2008",Resumen!$B$6),A61,"y")),(((B61*0.03)+(VLOOKUP(YEAR(A61),Resumen!$O$7:$P$12,2,0)*0.05))*DATEDIF(Resumen!$B$6,A61,"y")))),IF(A61&lt;DATE(2022,3,1),(Resumen!$B$7*0.25%)*DATEDIF("1/1/2009",A61,"y"),IF(Resumen!$B$9="Sí",(((B61*0.03)+(VLOOKUP(YEAR(A61),Resumen!$O$7:$P$12,2,0)*0.05))*DATEDIF(MAX("1/5/2008",Resumen!$B$6),A61,"y")),(((B61*0.03)+(VLOOKUP(YEAR(A61),Resumen!$O$7:$P$12,2,0)*0.05))*DATEDIF(Resumen!$B$6,A61,"y")))))</f>
        <v>799.31999999999994</v>
      </c>
      <c r="H61" s="4">
        <f t="shared" si="46"/>
        <v>152.25</v>
      </c>
      <c r="I61" s="4">
        <f t="shared" si="47"/>
        <v>152.19</v>
      </c>
      <c r="J61" s="1">
        <f>IF(Resumen!$B$14="Código",IF(A61&lt;DATE(2021,7,1),0,(0.03*(VLOOKUP(YEAR(A61),Resumen!$O$7:$P$12,2,0))*Resumen!$B$8)),IF(A61&lt;DATE(2022,3,1),0,(0.03*(VLOOKUP(YEAR(A61),Resumen!$O$7:$P$12,2,0))*Resumen!$B$8)))</f>
        <v>25.5</v>
      </c>
      <c r="K61" s="1">
        <f>IF(Resumen!$B$14="Código",IF(A61&lt;DATE(2021,7,1),0,50),IF(A61&lt;DATE(2022,3,1),0,50))</f>
        <v>50</v>
      </c>
      <c r="L61" s="1">
        <v>0</v>
      </c>
      <c r="M61" s="1">
        <v>0</v>
      </c>
      <c r="N61" s="1">
        <v>0</v>
      </c>
      <c r="O61" s="29">
        <v>10</v>
      </c>
      <c r="P61" s="1">
        <f>IF(Resumen!$B$14="LOEP",(B61+E61+F61)*11.45%*-1,(B61+E61+F61)*9.45%*-1)</f>
        <v>-172.65149999999997</v>
      </c>
      <c r="Q61" s="3"/>
      <c r="R61" s="9">
        <f t="shared" si="27"/>
        <v>1512</v>
      </c>
      <c r="S61" s="4">
        <f t="shared" si="22"/>
        <v>113.4</v>
      </c>
      <c r="T61" s="4">
        <f t="shared" si="23"/>
        <v>201.6</v>
      </c>
      <c r="U61" s="4">
        <f t="shared" si="24"/>
        <v>152.25</v>
      </c>
      <c r="V61" s="4">
        <f t="shared" si="25"/>
        <v>152.19</v>
      </c>
      <c r="W61" s="4">
        <f>(0.03*(VLOOKUP(YEAR(A61),Resumen!$O$7:$P$12,2,0))*Resumen!$B$8)</f>
        <v>25.5</v>
      </c>
      <c r="X61" s="4">
        <f>IF(Resumen!$B$9="Sí",(((R61*0.03)+(VLOOKUP(YEAR(A61),Resumen!$O$7:$P$12,2,0)*0.05))*DATEDIF(MAX("1/5/2008",Resumen!$B$6),A61,"y")),(((R61*0.03)+(VLOOKUP(YEAR(A61),Resumen!$O$7:$P$12,2,0)*0.05))*DATEDIF(Resumen!$B$6,A61,"y")))</f>
        <v>799.31999999999994</v>
      </c>
      <c r="Y61" s="3">
        <v>50</v>
      </c>
      <c r="Z61" s="1">
        <f>IF(Resumen!$B$9="Sí",IF(DATEDIF("1/5/2008",A61,"M")/12=5,R61/2,IF(DATEDIF("1/5/2008",A61,"M")/12=10,R61,IF(DATEDIF("1/5/2008",A61,"M")/12=15,R61*1.5,IF(DATEDIF("1/5/2008",A61,"M")/12=20,R61*2,0)))),IF(DATEDIF(Resumen!$B$6,A61,"M")/12=5,R61/2,IF(DATEDIF(Resumen!$B$6,A61,"M")/12=10,R61,IF(DATEDIF(Resumen!$B$6,A61,"M")/12=15,R61*1.5,IF(DATEDIF(Resumen!$B$6,A61,"M")/12=20,R61*2,IF(DATEDIF(Resumen!$B$6,A61,"M")/12=25,R61*2.5,IF(DATEDIF(Resumen!$B$6,A61,"M")/12=30,R61*3)))))))</f>
        <v>0</v>
      </c>
      <c r="AA61" s="19">
        <f>(IF(Resumen!$B$20="Sí",IF(Resumen!$C$20&lt;=A61,IF(DATEDIF(Resumen!$C$20,A61,"Y")&lt;8,VLOOKUP(YEAR(A61),Resumen!$O$7:$P$12,2,0),0),0),0))+(IF(Resumen!$B$21="Sí",IF(Resumen!$C$21&lt;=A61,IF(DATEDIF(Resumen!$C$21,A61,"Y")&lt;8,VLOOKUP(YEAR(A61),Resumen!$O$7:$P$12,2,0),0),0),0))</f>
        <v>0</v>
      </c>
      <c r="AB61" s="1">
        <f>IF(MONTH(A61)=12,VLOOKUP(YEAR(A61),Resumen!$O$7:$P$12,2,0),0)</f>
        <v>0</v>
      </c>
      <c r="AC61" s="1">
        <f t="shared" si="28"/>
        <v>0</v>
      </c>
      <c r="AD61" s="19">
        <f>(IF(Resumen!$B$25="Sí",IF(DATE(YEAR(Resumen!$C$25),MONTH(Resumen!$C$25),1)=A61,1000,0)+(IF(Resumen!$B$26="Sí",IF(DATE(YEAR(Resumen!$C$26),MONTH(Resumen!$C$26),1)=A61,1000,0),0)),0))</f>
        <v>0</v>
      </c>
      <c r="AE61" s="1">
        <v>0</v>
      </c>
      <c r="AF61" s="1">
        <v>0</v>
      </c>
      <c r="AG61" s="19">
        <v>130</v>
      </c>
      <c r="AH61" s="1">
        <v>0</v>
      </c>
      <c r="AI61" s="19">
        <f>IF(MONTH(A61)=12,IF(Resumen!$B$9="Sí",(15+DATEDIF("1/5/2008",A61,"y")-5)*50,(15+DATEDIF(Resumen!$B$6,A61,"y")-5)*50),0)</f>
        <v>0</v>
      </c>
      <c r="AJ61" s="5">
        <f>IF(Resumen!$B$13="No",IF(Resumen!$B$12="No",20,100),0)</f>
        <v>20</v>
      </c>
      <c r="AK61" s="1">
        <f>IF(Resumen!$B$14="LOEP",(R61+S61+T61)*11.45%*-1,(R61+S61+T61)*9.45%*-1)</f>
        <v>-172.65149999999997</v>
      </c>
      <c r="AM61" s="3">
        <f t="shared" si="29"/>
        <v>0</v>
      </c>
      <c r="AN61" s="4">
        <f t="shared" si="30"/>
        <v>0</v>
      </c>
      <c r="AO61" s="4">
        <f t="shared" si="31"/>
        <v>0</v>
      </c>
      <c r="AP61" s="4">
        <f t="shared" si="32"/>
        <v>0</v>
      </c>
      <c r="AQ61" s="4">
        <f t="shared" si="33"/>
        <v>0</v>
      </c>
      <c r="AR61" s="4">
        <f t="shared" si="34"/>
        <v>0</v>
      </c>
      <c r="AS61" s="4">
        <f t="shared" si="35"/>
        <v>0</v>
      </c>
      <c r="AT61" s="4">
        <f t="shared" si="36"/>
        <v>0</v>
      </c>
      <c r="AU61" s="6">
        <f t="shared" si="37"/>
        <v>0</v>
      </c>
      <c r="AV61" s="6">
        <f t="shared" si="38"/>
        <v>0</v>
      </c>
      <c r="AW61" s="6">
        <f t="shared" si="39"/>
        <v>0</v>
      </c>
      <c r="AX61" s="6">
        <f t="shared" si="40"/>
        <v>10</v>
      </c>
      <c r="AY61" s="6">
        <f t="shared" si="41"/>
        <v>0</v>
      </c>
      <c r="AZ61" s="6">
        <f t="shared" si="42"/>
        <v>0</v>
      </c>
      <c r="BA61" s="6">
        <f t="shared" si="43"/>
        <v>0</v>
      </c>
      <c r="BB61" s="6">
        <f t="shared" si="44"/>
        <v>0</v>
      </c>
      <c r="BD61" s="3">
        <f t="shared" si="45"/>
        <v>10</v>
      </c>
      <c r="BE61" s="3">
        <v>0</v>
      </c>
    </row>
    <row r="62" spans="1:57" x14ac:dyDescent="0.25">
      <c r="A62" s="7">
        <v>44896</v>
      </c>
      <c r="B62" s="9">
        <f>IF(Resumen!$B$14="Código",IF(A62&lt;DATE(2021,7,1),Resumen!$B$7,Resumen!$B$7+300),IF(A62&lt;DATE(2022,3,1),Resumen!$B$7,Resumen!$B$7+300))</f>
        <v>1512</v>
      </c>
      <c r="C62" s="76">
        <f>Detalle!C62</f>
        <v>6</v>
      </c>
      <c r="D62" s="76">
        <f>Detalle!D62</f>
        <v>16</v>
      </c>
      <c r="E62" s="4">
        <f t="shared" si="18"/>
        <v>56.7</v>
      </c>
      <c r="F62" s="4">
        <f t="shared" si="19"/>
        <v>201.6</v>
      </c>
      <c r="G62" s="4">
        <f>IF(Resumen!$B$14="Código",IF(A62&lt;DATE(2021,7,1),(Resumen!$B$7*0.25%)*DATEDIF("1/1/2009",A62,"y"),IF(Resumen!$B$9="Sí",(((B62*0.03)+(VLOOKUP(YEAR(A62),Resumen!$O$7:$P$12,2,0)*0.05))*DATEDIF(MAX("1/5/2008",Resumen!$B$6),A62,"y")),(((B62*0.03)+(VLOOKUP(YEAR(A62),Resumen!$O$7:$P$12,2,0)*0.05))*DATEDIF(Resumen!$B$6,A62,"y")))),IF(A62&lt;DATE(2022,3,1),(Resumen!$B$7*0.25%)*DATEDIF("1/1/2009",A62,"y"),IF(Resumen!$B$9="Sí",(((B62*0.03)+(VLOOKUP(YEAR(A62),Resumen!$O$7:$P$12,2,0)*0.05))*DATEDIF(MAX("1/5/2008",Resumen!$B$6),A62,"y")),(((B62*0.03)+(VLOOKUP(YEAR(A62),Resumen!$O$7:$P$12,2,0)*0.05))*DATEDIF(Resumen!$B$6,A62,"y")))))</f>
        <v>799.31999999999994</v>
      </c>
      <c r="H62" s="4">
        <f t="shared" si="46"/>
        <v>147.53</v>
      </c>
      <c r="I62" s="4">
        <f t="shared" si="47"/>
        <v>147.47</v>
      </c>
      <c r="J62" s="1">
        <f>IF(Resumen!$B$14="Código",IF(A62&lt;DATE(2021,7,1),0,(0.03*(VLOOKUP(YEAR(A62),Resumen!$O$7:$P$12,2,0))*Resumen!$B$8)),IF(A62&lt;DATE(2022,3,1),0,(0.03*(VLOOKUP(YEAR(A62),Resumen!$O$7:$P$12,2,0))*Resumen!$B$8)))</f>
        <v>25.5</v>
      </c>
      <c r="K62" s="1">
        <f>IF(Resumen!$B$14="Código",IF(A62&lt;DATE(2021,7,1),0,50),IF(A62&lt;DATE(2022,3,1),0,50))</f>
        <v>50</v>
      </c>
      <c r="L62" s="1">
        <v>425</v>
      </c>
      <c r="M62" s="1">
        <v>100</v>
      </c>
      <c r="N62" s="1">
        <v>0</v>
      </c>
      <c r="O62" s="29">
        <v>10</v>
      </c>
      <c r="P62" s="1">
        <f>IF(Resumen!$B$14="LOEP",(B62+E62+F62)*11.45%*-1,(B62+E62+F62)*9.45%*-1)</f>
        <v>-167.29334999999998</v>
      </c>
      <c r="Q62" s="3"/>
      <c r="R62" s="9">
        <f t="shared" si="27"/>
        <v>1512</v>
      </c>
      <c r="S62" s="4">
        <f t="shared" si="22"/>
        <v>56.7</v>
      </c>
      <c r="T62" s="4">
        <f t="shared" si="23"/>
        <v>201.6</v>
      </c>
      <c r="U62" s="4">
        <f t="shared" si="24"/>
        <v>147.53</v>
      </c>
      <c r="V62" s="4">
        <f t="shared" si="25"/>
        <v>147.47</v>
      </c>
      <c r="W62" s="4">
        <f>(0.03*(VLOOKUP(YEAR(A62),Resumen!$O$7:$P$12,2,0))*Resumen!$B$8)</f>
        <v>25.5</v>
      </c>
      <c r="X62" s="4">
        <f>IF(Resumen!$B$9="Sí",(((R62*0.03)+(VLOOKUP(YEAR(A62),Resumen!$O$7:$P$12,2,0)*0.05))*DATEDIF(MAX("1/5/2008",Resumen!$B$6),A62,"y")),(((R62*0.03)+(VLOOKUP(YEAR(A62),Resumen!$O$7:$P$12,2,0)*0.05))*DATEDIF(Resumen!$B$6,A62,"y")))</f>
        <v>799.31999999999994</v>
      </c>
      <c r="Y62" s="3">
        <v>50</v>
      </c>
      <c r="Z62" s="1">
        <f>IF(Resumen!$B$9="Sí",IF(DATEDIF("1/5/2008",A62,"M")/12=5,R62/2,IF(DATEDIF("1/5/2008",A62,"M")/12=10,R62,IF(DATEDIF("1/5/2008",A62,"M")/12=15,R62*1.5,IF(DATEDIF("1/5/2008",A62,"M")/12=20,R62*2,0)))),IF(DATEDIF(Resumen!$B$6,A62,"M")/12=5,R62/2,IF(DATEDIF(Resumen!$B$6,A62,"M")/12=10,R62,IF(DATEDIF(Resumen!$B$6,A62,"M")/12=15,R62*1.5,IF(DATEDIF(Resumen!$B$6,A62,"M")/12=20,R62*2,IF(DATEDIF(Resumen!$B$6,A62,"M")/12=25,R62*2.5,IF(DATEDIF(Resumen!$B$6,A62,"M")/12=30,R62*3)))))))</f>
        <v>0</v>
      </c>
      <c r="AA62" s="19">
        <f>(IF(Resumen!$B$20="Sí",IF(Resumen!$C$20&lt;=A62,IF(DATEDIF(Resumen!$C$20,A62,"Y")&lt;8,VLOOKUP(YEAR(A62),Resumen!$O$7:$P$12,2,0),0),0),0))+(IF(Resumen!$B$21="Sí",IF(Resumen!$C$21&lt;=A62,IF(DATEDIF(Resumen!$C$21,A62,"Y")&lt;8,VLOOKUP(YEAR(A62),Resumen!$O$7:$P$12,2,0),0),0),0))</f>
        <v>0</v>
      </c>
      <c r="AB62" s="1">
        <f>IF(MONTH(A62)=12,VLOOKUP(YEAR(A62),Resumen!$O$7:$P$12,2,0),0)</f>
        <v>425</v>
      </c>
      <c r="AC62" s="1">
        <f t="shared" si="28"/>
        <v>100</v>
      </c>
      <c r="AD62" s="19">
        <f>(IF(Resumen!$B$25="Sí",IF(DATE(YEAR(Resumen!$C$25),MONTH(Resumen!$C$25),1)=A62,1000,0)+(IF(Resumen!$B$26="Sí",IF(DATE(YEAR(Resumen!$C$26),MONTH(Resumen!$C$26),1)=A62,1000,0),0)),0))</f>
        <v>0</v>
      </c>
      <c r="AE62" s="1">
        <v>0</v>
      </c>
      <c r="AF62" s="1">
        <v>0</v>
      </c>
      <c r="AG62" s="19">
        <v>130</v>
      </c>
      <c r="AH62" s="1">
        <v>0</v>
      </c>
      <c r="AI62" s="19">
        <f>IF(MONTH(A62)=12,IF(Resumen!$B$9="Sí",(15+DATEDIF("1/5/2008",A62,"y")-5)*50,(15+DATEDIF(Resumen!$B$6,A62,"y")-5)*50),0)</f>
        <v>1200</v>
      </c>
      <c r="AJ62" s="5">
        <f>IF(Resumen!$B$13="No",IF(Resumen!$B$12="No",20,100),0)</f>
        <v>20</v>
      </c>
      <c r="AK62" s="1">
        <f>IF(Resumen!$B$14="LOEP",(R62+S62+T62)*11.45%*-1,(R62+S62+T62)*9.45%*-1)</f>
        <v>-167.29334999999998</v>
      </c>
      <c r="AM62" s="3">
        <f t="shared" si="29"/>
        <v>0</v>
      </c>
      <c r="AN62" s="4">
        <f t="shared" si="30"/>
        <v>0</v>
      </c>
      <c r="AO62" s="4">
        <f t="shared" si="31"/>
        <v>0</v>
      </c>
      <c r="AP62" s="4">
        <f t="shared" si="32"/>
        <v>0</v>
      </c>
      <c r="AQ62" s="4">
        <f t="shared" si="33"/>
        <v>0</v>
      </c>
      <c r="AR62" s="4">
        <f t="shared" si="34"/>
        <v>0</v>
      </c>
      <c r="AS62" s="4">
        <f t="shared" si="35"/>
        <v>0</v>
      </c>
      <c r="AT62" s="4">
        <f t="shared" si="36"/>
        <v>0</v>
      </c>
      <c r="AU62" s="6">
        <f t="shared" si="37"/>
        <v>0</v>
      </c>
      <c r="AV62" s="6">
        <f t="shared" si="38"/>
        <v>0</v>
      </c>
      <c r="AW62" s="6">
        <f t="shared" si="39"/>
        <v>0</v>
      </c>
      <c r="AX62" s="6">
        <f t="shared" si="40"/>
        <v>10</v>
      </c>
      <c r="AY62" s="6">
        <f t="shared" si="41"/>
        <v>0</v>
      </c>
      <c r="AZ62" s="6">
        <f t="shared" si="42"/>
        <v>0</v>
      </c>
      <c r="BA62" s="6">
        <f t="shared" si="43"/>
        <v>1200</v>
      </c>
      <c r="BB62" s="6">
        <f t="shared" si="44"/>
        <v>0</v>
      </c>
      <c r="BD62" s="3">
        <f t="shared" si="45"/>
        <v>1210</v>
      </c>
      <c r="BE62" s="3">
        <v>0</v>
      </c>
    </row>
    <row r="63" spans="1:57" x14ac:dyDescent="0.25">
      <c r="A63" s="7">
        <v>44927</v>
      </c>
      <c r="B63" s="9">
        <f>IF(Resumen!$B$14="Código",IF(A63&lt;DATE(2021,7,1),Resumen!$B$7,Resumen!$B$7+300),IF(A63&lt;DATE(2022,3,1),Resumen!$B$7,Resumen!$B$7+300))</f>
        <v>1512</v>
      </c>
      <c r="C63" s="76">
        <f>Detalle!C63</f>
        <v>12</v>
      </c>
      <c r="D63" s="76">
        <f>Detalle!D63</f>
        <v>8</v>
      </c>
      <c r="E63" s="4">
        <f t="shared" si="18"/>
        <v>113.4</v>
      </c>
      <c r="F63" s="4">
        <f t="shared" si="19"/>
        <v>100.8</v>
      </c>
      <c r="G63" s="4">
        <f>IF(Resumen!$B$14="Código",IF(A63&lt;DATE(2021,7,1),(Resumen!$B$7*0.25%)*DATEDIF("1/1/2009",A63,"y"),IF(Resumen!$B$9="Sí",(((B63*0.03)+(VLOOKUP(YEAR(A63),Resumen!$O$7:$P$12,2,0)*0.05))*DATEDIF(MAX("1/5/2008",Resumen!$B$6),A63,"y")),(((B63*0.03)+(VLOOKUP(YEAR(A63),Resumen!$O$7:$P$12,2,0)*0.05))*DATEDIF(Resumen!$B$6,A63,"y")))),IF(A63&lt;DATE(2022,3,1),(Resumen!$B$7*0.25%)*DATEDIF("1/1/2009",A63,"y"),IF(Resumen!$B$9="Sí",(((B63*0.03)+(VLOOKUP(YEAR(A63),Resumen!$O$7:$P$12,2,0)*0.05))*DATEDIF(MAX("1/5/2008",Resumen!$B$6),A63,"y")),(((B63*0.03)+(VLOOKUP(YEAR(A63),Resumen!$O$7:$P$12,2,0)*0.05))*DATEDIF(Resumen!$B$6,A63,"y")))))</f>
        <v>814.31999999999994</v>
      </c>
      <c r="H63" s="4">
        <f t="shared" si="46"/>
        <v>143.85</v>
      </c>
      <c r="I63" s="4">
        <f t="shared" si="47"/>
        <v>143.79</v>
      </c>
      <c r="J63" s="1">
        <f>IF(Resumen!$B$14="Código",IF(A63&lt;DATE(2021,7,1),0,(0.03*(VLOOKUP(YEAR(A63),Resumen!$O$7:$P$12,2,0))*Resumen!$B$8)),IF(A63&lt;DATE(2022,3,1),0,(0.03*(VLOOKUP(YEAR(A63),Resumen!$O$7:$P$12,2,0))*Resumen!$B$8)))</f>
        <v>27</v>
      </c>
      <c r="K63" s="1">
        <f>IF(Resumen!$B$14="Código",IF(A63&lt;DATE(2021,7,1),0,50),IF(A63&lt;DATE(2022,3,1),0,50))</f>
        <v>50</v>
      </c>
      <c r="L63" s="1">
        <v>0</v>
      </c>
      <c r="M63" s="1">
        <v>0</v>
      </c>
      <c r="N63" s="1">
        <v>0</v>
      </c>
      <c r="O63" s="29">
        <v>10</v>
      </c>
      <c r="P63" s="1">
        <f>IF(Resumen!$B$14="LOEP",(B63+E63+F63)*11.45%*-1,(B63+E63+F63)*9.45%*-1)</f>
        <v>-163.12589999999997</v>
      </c>
      <c r="Q63" s="3"/>
      <c r="R63" s="9">
        <f t="shared" si="27"/>
        <v>1512</v>
      </c>
      <c r="S63" s="4">
        <f t="shared" si="22"/>
        <v>113.4</v>
      </c>
      <c r="T63" s="4">
        <f t="shared" si="23"/>
        <v>100.8</v>
      </c>
      <c r="U63" s="4">
        <f t="shared" si="24"/>
        <v>143.85</v>
      </c>
      <c r="V63" s="4">
        <f t="shared" si="25"/>
        <v>143.79</v>
      </c>
      <c r="W63" s="4">
        <f>(0.03*(VLOOKUP(YEAR(A63),Resumen!$O$7:$P$12,2,0))*Resumen!$B$8)</f>
        <v>27</v>
      </c>
      <c r="X63" s="4">
        <f>IF(Resumen!$B$9="Sí",(((R63*0.03)+(VLOOKUP(YEAR(A63),Resumen!$O$7:$P$12,2,0)*0.05))*DATEDIF(MAX("1/5/2008",Resumen!$B$6),A63,"y")),(((R63*0.03)+(VLOOKUP(YEAR(A63),Resumen!$O$7:$P$12,2,0)*0.05))*DATEDIF(Resumen!$B$6,A63,"y")))</f>
        <v>814.31999999999994</v>
      </c>
      <c r="Y63" s="3">
        <v>50</v>
      </c>
      <c r="Z63" s="1">
        <f>IF(Resumen!$B$9="Sí",IF(DATEDIF("1/5/2008",A63,"M")/12=5,R63/2,IF(DATEDIF("1/5/2008",A63,"M")/12=10,R63,IF(DATEDIF("1/5/2008",A63,"M")/12=15,R63*1.5,IF(DATEDIF("1/5/2008",A63,"M")/12=20,R63*2,0)))),IF(DATEDIF(Resumen!$B$6,A63,"M")/12=5,R63/2,IF(DATEDIF(Resumen!$B$6,A63,"M")/12=10,R63,IF(DATEDIF(Resumen!$B$6,A63,"M")/12=15,R63*1.5,IF(DATEDIF(Resumen!$B$6,A63,"M")/12=20,R63*2,IF(DATEDIF(Resumen!$B$6,A63,"M")/12=25,R63*2.5,IF(DATEDIF(Resumen!$B$6,A63,"M")/12=30,R63*3)))))))</f>
        <v>0</v>
      </c>
      <c r="AA63" s="19">
        <f>(IF(Resumen!$B$20="Sí",IF(Resumen!$C$20&lt;=A63,IF(DATEDIF(Resumen!$C$20,A63,"Y")&lt;8,VLOOKUP(YEAR(A63),Resumen!$O$7:$P$12,2,0),0),0),0))+(IF(Resumen!$B$21="Sí",IF(Resumen!$C$21&lt;=A63,IF(DATEDIF(Resumen!$C$21,A63,"Y")&lt;8,VLOOKUP(YEAR(A63),Resumen!$O$7:$P$12,2,0),0),0),0))</f>
        <v>0</v>
      </c>
      <c r="AB63" s="1">
        <f>IF(MONTH(A63)=12,VLOOKUP(YEAR(A63),Resumen!$O$7:$P$12,2,0),0)</f>
        <v>0</v>
      </c>
      <c r="AC63" s="1">
        <f t="shared" si="28"/>
        <v>0</v>
      </c>
      <c r="AD63" s="19">
        <f>(IF(Resumen!$B$25="Sí",IF(DATE(YEAR(Resumen!$C$25),MONTH(Resumen!$C$25),1)=A63,1000,0)+(IF(Resumen!$B$26="Sí",IF(DATE(YEAR(Resumen!$C$26),MONTH(Resumen!$C$26),1)=A63,1000,0),0)),0))</f>
        <v>0</v>
      </c>
      <c r="AE63" s="1">
        <v>0</v>
      </c>
      <c r="AF63" s="1">
        <v>0</v>
      </c>
      <c r="AG63" s="19">
        <v>130</v>
      </c>
      <c r="AH63" s="1">
        <v>0</v>
      </c>
      <c r="AI63" s="19">
        <f>IF(MONTH(A63)=12,IF(Resumen!$B$9="Sí",(15+DATEDIF("1/5/2008",A63,"y")-5)*50,(15+DATEDIF(Resumen!$B$6,A63,"y")-5)*50),0)</f>
        <v>0</v>
      </c>
      <c r="AJ63" s="5">
        <f>IF(Resumen!$B$13="No",IF(Resumen!$B$12="No",20,100),0)</f>
        <v>20</v>
      </c>
      <c r="AK63" s="1">
        <f>IF(Resumen!$B$14="LOEP",(R63+S63+T63)*11.45%*-1,(R63+S63+T63)*9.45%*-1)</f>
        <v>-163.12589999999997</v>
      </c>
      <c r="AM63" s="3">
        <f t="shared" si="29"/>
        <v>0</v>
      </c>
      <c r="AN63" s="4">
        <f t="shared" si="30"/>
        <v>0</v>
      </c>
      <c r="AO63" s="4">
        <f t="shared" si="31"/>
        <v>0</v>
      </c>
      <c r="AP63" s="4">
        <f t="shared" si="32"/>
        <v>0</v>
      </c>
      <c r="AQ63" s="4">
        <f t="shared" si="33"/>
        <v>0</v>
      </c>
      <c r="AR63" s="4">
        <f t="shared" si="34"/>
        <v>0</v>
      </c>
      <c r="AS63" s="4">
        <f t="shared" si="35"/>
        <v>0</v>
      </c>
      <c r="AT63" s="4">
        <f t="shared" si="36"/>
        <v>0</v>
      </c>
      <c r="AU63" s="6">
        <f t="shared" si="37"/>
        <v>0</v>
      </c>
      <c r="AV63" s="6">
        <f t="shared" si="38"/>
        <v>0</v>
      </c>
      <c r="AW63" s="6">
        <f t="shared" si="39"/>
        <v>0</v>
      </c>
      <c r="AX63" s="6">
        <f t="shared" si="40"/>
        <v>10</v>
      </c>
      <c r="AY63" s="6">
        <f t="shared" si="41"/>
        <v>0</v>
      </c>
      <c r="AZ63" s="6">
        <f t="shared" si="42"/>
        <v>0</v>
      </c>
      <c r="BA63" s="6">
        <f t="shared" si="43"/>
        <v>0</v>
      </c>
      <c r="BB63" s="6">
        <f t="shared" si="44"/>
        <v>0</v>
      </c>
      <c r="BD63" s="3">
        <f t="shared" si="45"/>
        <v>10</v>
      </c>
      <c r="BE63" s="3">
        <v>0</v>
      </c>
    </row>
    <row r="64" spans="1:57" x14ac:dyDescent="0.25">
      <c r="A64" s="7">
        <v>44958</v>
      </c>
      <c r="B64" s="9">
        <f>IF(Resumen!$B$14="Código",IF(A64&lt;DATE(2021,7,1),Resumen!$B$7,Resumen!$B$7+300),IF(A64&lt;DATE(2022,3,1),Resumen!$B$7,Resumen!$B$7+300))</f>
        <v>1512</v>
      </c>
      <c r="C64" s="76">
        <f>Detalle!C64</f>
        <v>10.85</v>
      </c>
      <c r="D64" s="76">
        <f>Detalle!D64</f>
        <v>16</v>
      </c>
      <c r="E64" s="4">
        <f t="shared" si="18"/>
        <v>102.53</v>
      </c>
      <c r="F64" s="4">
        <f t="shared" si="19"/>
        <v>201.6</v>
      </c>
      <c r="G64" s="4">
        <f>IF(Resumen!$B$14="Código",IF(A64&lt;DATE(2021,7,1),(Resumen!$B$7*0.25%)*DATEDIF("1/1/2009",A64,"y"),IF(Resumen!$B$9="Sí",(((B64*0.03)+(VLOOKUP(YEAR(A64),Resumen!$O$7:$P$12,2,0)*0.05))*DATEDIF(MAX("1/5/2008",Resumen!$B$6),A64,"y")),(((B64*0.03)+(VLOOKUP(YEAR(A64),Resumen!$O$7:$P$12,2,0)*0.05))*DATEDIF(Resumen!$B$6,A64,"y")))),IF(A64&lt;DATE(2022,3,1),(Resumen!$B$7*0.25%)*DATEDIF("1/1/2009",A64,"y"),IF(Resumen!$B$9="Sí",(((B64*0.03)+(VLOOKUP(YEAR(A64),Resumen!$O$7:$P$12,2,0)*0.05))*DATEDIF(MAX("1/5/2008",Resumen!$B$6),A64,"y")),(((B64*0.03)+(VLOOKUP(YEAR(A64),Resumen!$O$7:$P$12,2,0)*0.05))*DATEDIF(Resumen!$B$6,A64,"y")))))</f>
        <v>882.18</v>
      </c>
      <c r="H64" s="4">
        <f t="shared" si="46"/>
        <v>151.34</v>
      </c>
      <c r="I64" s="4">
        <f t="shared" si="47"/>
        <v>151.28</v>
      </c>
      <c r="J64" s="1">
        <f>IF(Resumen!$B$14="Código",IF(A64&lt;DATE(2021,7,1),0,(0.03*(VLOOKUP(YEAR(A64),Resumen!$O$7:$P$12,2,0))*Resumen!$B$8)),IF(A64&lt;DATE(2022,3,1),0,(0.03*(VLOOKUP(YEAR(A64),Resumen!$O$7:$P$12,2,0))*Resumen!$B$8)))</f>
        <v>27</v>
      </c>
      <c r="K64" s="1">
        <f>IF(Resumen!$B$14="Código",IF(A64&lt;DATE(2021,7,1),0,50),IF(A64&lt;DATE(2022,3,1),0,50))</f>
        <v>50</v>
      </c>
      <c r="L64" s="1">
        <v>0</v>
      </c>
      <c r="M64" s="1">
        <v>0</v>
      </c>
      <c r="N64" s="1">
        <v>0</v>
      </c>
      <c r="O64" s="29">
        <v>10</v>
      </c>
      <c r="P64" s="1">
        <f>IF(Resumen!$B$14="LOEP",(B64+E64+F64)*11.45%*-1,(B64+E64+F64)*9.45%*-1)</f>
        <v>-171.62428499999996</v>
      </c>
      <c r="Q64" s="3"/>
      <c r="R64" s="9">
        <f t="shared" si="27"/>
        <v>1512</v>
      </c>
      <c r="S64" s="4">
        <f t="shared" si="22"/>
        <v>102.53</v>
      </c>
      <c r="T64" s="4">
        <f t="shared" si="23"/>
        <v>201.6</v>
      </c>
      <c r="U64" s="4">
        <f t="shared" si="24"/>
        <v>151.34</v>
      </c>
      <c r="V64" s="4">
        <f t="shared" si="25"/>
        <v>151.28</v>
      </c>
      <c r="W64" s="4">
        <f>(0.03*(VLOOKUP(YEAR(A64),Resumen!$O$7:$P$12,2,0))*Resumen!$B$8)</f>
        <v>27</v>
      </c>
      <c r="X64" s="4">
        <f>IF(Resumen!$B$9="Sí",(((R64*0.03)+(VLOOKUP(YEAR(A64),Resumen!$O$7:$P$12,2,0)*0.05))*DATEDIF(MAX("1/5/2008",Resumen!$B$6),A64,"y")),(((R64*0.03)+(VLOOKUP(YEAR(A64),Resumen!$O$7:$P$12,2,0)*0.05))*DATEDIF(Resumen!$B$6,A64,"y")))</f>
        <v>882.18</v>
      </c>
      <c r="Y64" s="3">
        <v>50</v>
      </c>
      <c r="Z64" s="1">
        <f>IF(Resumen!$B$9="Sí",IF(DATEDIF("1/5/2008",A64,"M")/12=5,R64/2,IF(DATEDIF("1/5/2008",A64,"M")/12=10,R64,IF(DATEDIF("1/5/2008",A64,"M")/12=15,R64*1.5,IF(DATEDIF("1/5/2008",A64,"M")/12=20,R64*2,0)))),IF(DATEDIF(Resumen!$B$6,A64,"M")/12=5,R64/2,IF(DATEDIF(Resumen!$B$6,A64,"M")/12=10,R64,IF(DATEDIF(Resumen!$B$6,A64,"M")/12=15,R64*1.5,IF(DATEDIF(Resumen!$B$6,A64,"M")/12=20,R64*2,IF(DATEDIF(Resumen!$B$6,A64,"M")/12=25,R64*2.5,IF(DATEDIF(Resumen!$B$6,A64,"M")/12=30,R64*3)))))))</f>
        <v>0</v>
      </c>
      <c r="AA64" s="19">
        <f>(IF(Resumen!$B$20="Sí",IF(Resumen!$C$20&lt;=A64,IF(DATEDIF(Resumen!$C$20,A64,"Y")&lt;8,VLOOKUP(YEAR(A64),Resumen!$O$7:$P$12,2,0),0),0),0))+(IF(Resumen!$B$21="Sí",IF(Resumen!$C$21&lt;=A64,IF(DATEDIF(Resumen!$C$21,A64,"Y")&lt;8,VLOOKUP(YEAR(A64),Resumen!$O$7:$P$12,2,0),0),0),0))</f>
        <v>0</v>
      </c>
      <c r="AB64" s="1">
        <f>IF(MONTH(A64)=12,VLOOKUP(YEAR(A64),Resumen!$O$7:$P$12,2,0),0)</f>
        <v>0</v>
      </c>
      <c r="AC64" s="1">
        <f t="shared" si="28"/>
        <v>0</v>
      </c>
      <c r="AD64" s="19">
        <f>(IF(Resumen!$B$25="Sí",IF(DATE(YEAR(Resumen!$C$25),MONTH(Resumen!$C$25),1)=A64,1000,0)+(IF(Resumen!$B$26="Sí",IF(DATE(YEAR(Resumen!$C$26),MONTH(Resumen!$C$26),1)=A64,1000,0),0)),0))</f>
        <v>0</v>
      </c>
      <c r="AE64" s="1">
        <v>0</v>
      </c>
      <c r="AF64" s="1">
        <v>0</v>
      </c>
      <c r="AG64" s="19">
        <v>130</v>
      </c>
      <c r="AH64" s="1">
        <v>0</v>
      </c>
      <c r="AI64" s="19">
        <f>IF(MONTH(A64)=12,IF(Resumen!$B$9="Sí",(15+DATEDIF("1/5/2008",A64,"y")-5)*50,(15+DATEDIF(Resumen!$B$6,A64,"y")-5)*50),0)</f>
        <v>0</v>
      </c>
      <c r="AJ64" s="5">
        <f>IF(Resumen!$B$13="No",IF(Resumen!$B$12="No",20,100),0)</f>
        <v>20</v>
      </c>
      <c r="AK64" s="1">
        <f>IF(Resumen!$B$14="LOEP",(R64+S64+T64)*11.45%*-1,(R64+S64+T64)*9.45%*-1)</f>
        <v>-171.62428499999996</v>
      </c>
      <c r="AM64" s="3">
        <f t="shared" si="29"/>
        <v>0</v>
      </c>
      <c r="AN64" s="4">
        <f t="shared" si="30"/>
        <v>0</v>
      </c>
      <c r="AO64" s="4">
        <f t="shared" si="31"/>
        <v>0</v>
      </c>
      <c r="AP64" s="4">
        <f t="shared" si="32"/>
        <v>0</v>
      </c>
      <c r="AQ64" s="4">
        <f t="shared" si="33"/>
        <v>0</v>
      </c>
      <c r="AR64" s="4">
        <f t="shared" si="34"/>
        <v>0</v>
      </c>
      <c r="AS64" s="4">
        <f t="shared" si="35"/>
        <v>0</v>
      </c>
      <c r="AT64" s="4">
        <f t="shared" si="36"/>
        <v>0</v>
      </c>
      <c r="AU64" s="6">
        <f t="shared" si="37"/>
        <v>0</v>
      </c>
      <c r="AV64" s="6">
        <f t="shared" si="38"/>
        <v>0</v>
      </c>
      <c r="AW64" s="6">
        <f t="shared" si="39"/>
        <v>0</v>
      </c>
      <c r="AX64" s="6">
        <f t="shared" si="40"/>
        <v>10</v>
      </c>
      <c r="AY64" s="6">
        <f t="shared" si="41"/>
        <v>0</v>
      </c>
      <c r="AZ64" s="6">
        <f t="shared" si="42"/>
        <v>0</v>
      </c>
      <c r="BA64" s="6">
        <f t="shared" si="43"/>
        <v>0</v>
      </c>
      <c r="BB64" s="6">
        <f t="shared" si="44"/>
        <v>0</v>
      </c>
      <c r="BD64" s="3">
        <f t="shared" si="45"/>
        <v>10</v>
      </c>
      <c r="BE64" s="3">
        <v>0</v>
      </c>
    </row>
    <row r="65" spans="1:57" x14ac:dyDescent="0.25">
      <c r="A65" s="7">
        <v>44986</v>
      </c>
      <c r="B65" s="9">
        <f>IF(Resumen!$B$14="Código",IF(A65&lt;DATE(2021,7,1),Resumen!$B$7,Resumen!$B$7+300),IF(A65&lt;DATE(2022,3,1),Resumen!$B$7,Resumen!$B$7+300))</f>
        <v>1512</v>
      </c>
      <c r="C65" s="76">
        <f>Detalle!C65</f>
        <v>0</v>
      </c>
      <c r="D65" s="76">
        <f>Detalle!D65</f>
        <v>0</v>
      </c>
      <c r="E65" s="4">
        <f t="shared" si="18"/>
        <v>0</v>
      </c>
      <c r="F65" s="4">
        <f t="shared" si="19"/>
        <v>0</v>
      </c>
      <c r="G65" s="4">
        <f>IF(Resumen!$B$14="Código",IF(A65&lt;DATE(2021,7,1),(Resumen!$B$7*0.25%)*DATEDIF("1/1/2009",A65,"y"),IF(Resumen!$B$9="Sí",(((B65*0.03)+(VLOOKUP(YEAR(A65),Resumen!$O$7:$P$12,2,0)*0.05))*DATEDIF(MAX("1/5/2008",Resumen!$B$6),A65,"y")),(((B65*0.03)+(VLOOKUP(YEAR(A65),Resumen!$O$7:$P$12,2,0)*0.05))*DATEDIF(Resumen!$B$6,A65,"y")))),IF(A65&lt;DATE(2022,3,1),(Resumen!$B$7*0.25%)*DATEDIF("1/1/2009",A65,"y"),IF(Resumen!$B$9="Sí",(((B65*0.03)+(VLOOKUP(YEAR(A65),Resumen!$O$7:$P$12,2,0)*0.05))*DATEDIF(MAX("1/5/2008",Resumen!$B$6),A65,"y")),(((B65*0.03)+(VLOOKUP(YEAR(A65),Resumen!$O$7:$P$12,2,0)*0.05))*DATEDIF(Resumen!$B$6,A65,"y")))))</f>
        <v>882.18</v>
      </c>
      <c r="H65" s="4">
        <f t="shared" si="46"/>
        <v>126</v>
      </c>
      <c r="I65" s="4">
        <f t="shared" si="47"/>
        <v>125.95</v>
      </c>
      <c r="J65" s="1">
        <f>IF(Resumen!$B$14="Código",IF(A65&lt;DATE(2021,7,1),0,(0.03*(VLOOKUP(YEAR(A65),Resumen!$O$7:$P$12,2,0))*Resumen!$B$8)),IF(A65&lt;DATE(2022,3,1),0,(0.03*(VLOOKUP(YEAR(A65),Resumen!$O$7:$P$12,2,0))*Resumen!$B$8)))</f>
        <v>27</v>
      </c>
      <c r="K65" s="1">
        <f>IF(Resumen!$B$14="Código",IF(A65&lt;DATE(2021,7,1),0,50),IF(A65&lt;DATE(2022,3,1),0,50))</f>
        <v>50</v>
      </c>
      <c r="L65" s="1">
        <v>0</v>
      </c>
      <c r="M65" s="1">
        <v>0</v>
      </c>
      <c r="N65" s="1">
        <v>0</v>
      </c>
      <c r="O65" s="29">
        <v>10</v>
      </c>
      <c r="P65" s="1">
        <f>IF(Resumen!$B$14="LOEP",(B65+E65+F65)*11.45%*-1,(B65+E65+F65)*9.45%*-1)</f>
        <v>-142.88399999999999</v>
      </c>
      <c r="Q65" s="3"/>
      <c r="R65" s="9">
        <f t="shared" si="27"/>
        <v>1512</v>
      </c>
      <c r="S65" s="4">
        <f t="shared" si="22"/>
        <v>0</v>
      </c>
      <c r="T65" s="4">
        <f t="shared" si="23"/>
        <v>0</v>
      </c>
      <c r="U65" s="4">
        <f t="shared" si="24"/>
        <v>126</v>
      </c>
      <c r="V65" s="4">
        <f t="shared" si="25"/>
        <v>125.95</v>
      </c>
      <c r="W65" s="4">
        <f>(0.03*(VLOOKUP(YEAR(A65),Resumen!$O$7:$P$12,2,0))*Resumen!$B$8)</f>
        <v>27</v>
      </c>
      <c r="X65" s="4">
        <f>IF(Resumen!$B$9="Sí",(((R65*0.03)+(VLOOKUP(YEAR(A65),Resumen!$O$7:$P$12,2,0)*0.05))*DATEDIF(MAX("1/5/2008",Resumen!$B$6),A65,"y")),(((R65*0.03)+(VLOOKUP(YEAR(A65),Resumen!$O$7:$P$12,2,0)*0.05))*DATEDIF(Resumen!$B$6,A65,"y")))</f>
        <v>882.18</v>
      </c>
      <c r="Y65" s="3">
        <v>50</v>
      </c>
      <c r="Z65" s="1">
        <f>IF(Resumen!$B$9="Sí",IF(DATEDIF("1/5/2008",A65,"M")/12=5,R65/2,IF(DATEDIF("1/5/2008",A65,"M")/12=10,R65,IF(DATEDIF("1/5/2008",A65,"M")/12=15,R65*1.5,IF(DATEDIF("1/5/2008",A65,"M")/12=20,R65*2,0)))),IF(DATEDIF(Resumen!$B$6,A65,"M")/12=5,R65/2,IF(DATEDIF(Resumen!$B$6,A65,"M")/12=10,R65,IF(DATEDIF(Resumen!$B$6,A65,"M")/12=15,R65*1.5,IF(DATEDIF(Resumen!$B$6,A65,"M")/12=20,R65*2,IF(DATEDIF(Resumen!$B$6,A65,"M")/12=25,R65*2.5,IF(DATEDIF(Resumen!$B$6,A65,"M")/12=30,R65*3)))))))</f>
        <v>0</v>
      </c>
      <c r="AA65" s="19">
        <f>(IF(Resumen!$B$20="Sí",IF(Resumen!$C$20&lt;=A65,IF(DATEDIF(Resumen!$C$20,A65,"Y")&lt;8,VLOOKUP(YEAR(A65),Resumen!$O$7:$P$12,2,0),0),0),0))+(IF(Resumen!$B$21="Sí",IF(Resumen!$C$21&lt;=A65,IF(DATEDIF(Resumen!$C$21,A65,"Y")&lt;8,VLOOKUP(YEAR(A65),Resumen!$O$7:$P$12,2,0),0),0),0))</f>
        <v>0</v>
      </c>
      <c r="AB65" s="1">
        <f>IF(MONTH(A65)=12,VLOOKUP(YEAR(A65),Resumen!$O$7:$P$12,2,0),0)</f>
        <v>0</v>
      </c>
      <c r="AC65" s="1">
        <f t="shared" si="28"/>
        <v>0</v>
      </c>
      <c r="AD65" s="19">
        <f>(IF(Resumen!$B$25="Sí",IF(DATE(YEAR(Resumen!$C$25),MONTH(Resumen!$C$25),1)=A65,1000,0)+(IF(Resumen!$B$26="Sí",IF(DATE(YEAR(Resumen!$C$26),MONTH(Resumen!$C$26),1)=A65,1000,0),0)),0))</f>
        <v>0</v>
      </c>
      <c r="AE65" s="1">
        <v>0</v>
      </c>
      <c r="AF65" s="1">
        <v>0</v>
      </c>
      <c r="AG65" s="19">
        <v>130</v>
      </c>
      <c r="AH65" s="1">
        <v>0</v>
      </c>
      <c r="AI65" s="19">
        <f>IF(MONTH(A65)=12,IF(Resumen!$B$9="Sí",(15+DATEDIF("1/5/2008",A65,"y")-5)*50,(15+DATEDIF(Resumen!$B$6,A65,"y")-5)*50),0)</f>
        <v>0</v>
      </c>
      <c r="AJ65" s="5">
        <f>IF(Resumen!$B$13="No",IF(Resumen!$B$12="No",20,100),0)</f>
        <v>20</v>
      </c>
      <c r="AK65" s="1">
        <f>IF(Resumen!$B$14="LOEP",(R65+S65+T65)*11.45%*-1,(R65+S65+T65)*9.45%*-1)</f>
        <v>-142.88399999999999</v>
      </c>
      <c r="AM65" s="3">
        <f t="shared" si="29"/>
        <v>0</v>
      </c>
      <c r="AN65" s="4">
        <f t="shared" si="30"/>
        <v>0</v>
      </c>
      <c r="AO65" s="4">
        <f t="shared" si="31"/>
        <v>0</v>
      </c>
      <c r="AP65" s="4">
        <f t="shared" si="32"/>
        <v>0</v>
      </c>
      <c r="AQ65" s="4">
        <f t="shared" si="33"/>
        <v>0</v>
      </c>
      <c r="AR65" s="4">
        <f t="shared" si="34"/>
        <v>0</v>
      </c>
      <c r="AS65" s="4">
        <f t="shared" si="35"/>
        <v>0</v>
      </c>
      <c r="AT65" s="4">
        <f t="shared" si="36"/>
        <v>0</v>
      </c>
      <c r="AU65" s="6">
        <f t="shared" si="37"/>
        <v>0</v>
      </c>
      <c r="AV65" s="6">
        <f t="shared" si="38"/>
        <v>0</v>
      </c>
      <c r="AW65" s="6">
        <f t="shared" si="39"/>
        <v>0</v>
      </c>
      <c r="AX65" s="6">
        <f t="shared" si="40"/>
        <v>10</v>
      </c>
      <c r="AY65" s="6">
        <f t="shared" si="41"/>
        <v>0</v>
      </c>
      <c r="AZ65" s="6">
        <f t="shared" si="42"/>
        <v>0</v>
      </c>
      <c r="BA65" s="6">
        <f t="shared" si="43"/>
        <v>0</v>
      </c>
      <c r="BB65" s="6">
        <f t="shared" si="44"/>
        <v>0</v>
      </c>
      <c r="BD65" s="3">
        <f t="shared" si="45"/>
        <v>10</v>
      </c>
      <c r="BE65" s="3">
        <v>0</v>
      </c>
    </row>
    <row r="66" spans="1:57" x14ac:dyDescent="0.25">
      <c r="A66" s="21"/>
      <c r="S66" s="11">
        <f t="shared" ref="S66" si="48">SUM(S3:S64)</f>
        <v>2120.9100000000003</v>
      </c>
      <c r="T66" s="11">
        <f t="shared" ref="T66:AG66" si="49">SUM(T3:T65)</f>
        <v>4722.7400000000016</v>
      </c>
      <c r="U66" s="11">
        <f t="shared" si="49"/>
        <v>8208.39</v>
      </c>
      <c r="V66" s="11">
        <f t="shared" si="49"/>
        <v>8205.06</v>
      </c>
      <c r="W66" s="11">
        <f t="shared" si="49"/>
        <v>1524.6</v>
      </c>
      <c r="X66" s="11">
        <f t="shared" si="49"/>
        <v>40657.029999999984</v>
      </c>
      <c r="Y66" s="10">
        <f t="shared" si="49"/>
        <v>3150</v>
      </c>
      <c r="Z66" s="13">
        <f t="shared" si="49"/>
        <v>1312</v>
      </c>
      <c r="AA66" s="13">
        <f t="shared" si="49"/>
        <v>0</v>
      </c>
      <c r="AB66" s="13">
        <f t="shared" si="49"/>
        <v>2005</v>
      </c>
      <c r="AC66" s="13">
        <f t="shared" si="49"/>
        <v>500</v>
      </c>
      <c r="AD66" s="13">
        <f t="shared" si="49"/>
        <v>0</v>
      </c>
      <c r="AE66" s="13">
        <f t="shared" si="49"/>
        <v>0</v>
      </c>
      <c r="AF66" s="13">
        <f t="shared" si="49"/>
        <v>0</v>
      </c>
      <c r="AG66" s="13">
        <f t="shared" si="49"/>
        <v>8190</v>
      </c>
      <c r="AH66" s="13">
        <f t="shared" ref="AH66" si="50">SUM(AH3:AH63)</f>
        <v>0</v>
      </c>
      <c r="AI66" s="13">
        <f>SUM(AI3:AI65)</f>
        <v>5500</v>
      </c>
      <c r="AJ66" s="13">
        <f>SUM(AJ3:AJ65)</f>
        <v>1260</v>
      </c>
      <c r="AK66" s="13"/>
      <c r="AL66" s="12"/>
      <c r="AM66" s="10">
        <f>SUM(AM3:AM65)</f>
        <v>11400</v>
      </c>
      <c r="AN66" s="10">
        <f t="shared" ref="AN66:AS66" si="51">SUM(AN3:AN65)</f>
        <v>132.55999999999995</v>
      </c>
      <c r="AO66" s="10">
        <f t="shared" si="51"/>
        <v>434.11</v>
      </c>
      <c r="AP66" s="10">
        <f t="shared" si="51"/>
        <v>863.41000000000008</v>
      </c>
      <c r="AQ66" s="10">
        <f t="shared" si="51"/>
        <v>863.08000000000038</v>
      </c>
      <c r="AR66" s="10">
        <f t="shared" si="51"/>
        <v>28479.249999999989</v>
      </c>
      <c r="AS66" s="10">
        <f t="shared" si="51"/>
        <v>1188.5999999999999</v>
      </c>
      <c r="AT66" s="10">
        <f t="shared" ref="AT66" si="52">SUM(AT3:AT65)</f>
        <v>2500</v>
      </c>
      <c r="AU66" s="10">
        <f t="shared" ref="AU66" si="53">SUM(AU3:AU65)</f>
        <v>1180</v>
      </c>
      <c r="AV66" s="10">
        <f t="shared" ref="AV66" si="54">SUM(AV3:AV65)</f>
        <v>300</v>
      </c>
      <c r="AW66" s="10">
        <f t="shared" ref="AW66" si="55">SUM(AW3:AW65)</f>
        <v>0</v>
      </c>
      <c r="AX66" s="10">
        <f t="shared" ref="AX66" si="56">SUM(AX3:AX65)</f>
        <v>1190</v>
      </c>
      <c r="AY66" s="10">
        <f t="shared" ref="AY66" si="57">SUM(AY3:AY65)</f>
        <v>1312</v>
      </c>
      <c r="AZ66" s="10">
        <f t="shared" ref="AZ66" si="58">SUM(AZ3:AZ65)</f>
        <v>0</v>
      </c>
      <c r="BA66" s="10">
        <f t="shared" ref="BA66" si="59">SUM(BA3:BA65)</f>
        <v>5500</v>
      </c>
      <c r="BB66" s="10">
        <f t="shared" ref="BB66" si="60">SUM(BB3:BB65)</f>
        <v>-4631.0578399999995</v>
      </c>
      <c r="BC66" s="10">
        <f t="shared" ref="BC66" si="61">SUM(BC3:BC65)</f>
        <v>0</v>
      </c>
      <c r="BD66" s="10">
        <f t="shared" ref="BD66" si="62">SUM(BD3:BD65)</f>
        <v>50711.952159999979</v>
      </c>
      <c r="BE66" s="10">
        <f t="shared" ref="BE66" si="63">SUM(BE3:BE65)</f>
        <v>0</v>
      </c>
    </row>
  </sheetData>
  <mergeCells count="3">
    <mergeCell ref="B1:N1"/>
    <mergeCell ref="R1:AK1"/>
    <mergeCell ref="AM1:BE1"/>
  </mergeCells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BF44C0-E361-43AD-A39C-167415A47CA0}">
  <dimension ref="A1"/>
  <sheetViews>
    <sheetView workbookViewId="0">
      <selection activeCell="L34" sqref="L34"/>
    </sheetView>
  </sheetViews>
  <sheetFormatPr baseColWidth="10" defaultColWidth="9.140625" defaultRowHeight="15" x14ac:dyDescent="0.25"/>
  <sheetData/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Resumen</vt:lpstr>
      <vt:lpstr>Detalle</vt:lpstr>
      <vt:lpstr>Detalle CNEL</vt:lpstr>
      <vt:lpstr>Información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2023-03-13T20:30:35Z</dcterms:created>
  <dcterms:modified xsi:type="dcterms:W3CDTF">2023-03-13T20:30:48Z</dcterms:modified>
</cp:coreProperties>
</file>